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nis\Desktop\SPORTA DAĻA\2022\7_Domes lēmuma projekti\Maksas pakalpojumu cenrādis\"/>
    </mc:Choice>
  </mc:AlternateContent>
  <bookViews>
    <workbookView xWindow="0" yWindow="0" windowWidth="23040" windowHeight="8808" tabRatio="948" firstSheet="1" activeTab="10"/>
  </bookViews>
  <sheets>
    <sheet name="Apkopojums_SC_noma" sheetId="27" r:id="rId1"/>
    <sheet name="Cenu salīdiznājums" sheetId="33" r:id="rId2"/>
    <sheet name="Noslodze" sheetId="21" r:id="rId3"/>
    <sheet name="ASC_2018_LZ" sheetId="1" r:id="rId4"/>
    <sheet name="ASC_2018_DzZ" sheetId="23" r:id="rId5"/>
    <sheet name="ASC_2018_AerobZ" sheetId="24" r:id="rId6"/>
    <sheet name="Dabīgais futbola laukums Ca" sheetId="31" r:id="rId7"/>
    <sheet name="Rozu iela" sheetId="30" r:id="rId8"/>
    <sheet name="Ādažu futbola laukums" sheetId="32" r:id="rId9"/>
    <sheet name="ASC_2018_Galda_teniss" sheetId="14" r:id="rId10"/>
    <sheet name="Tame" sheetId="10" r:id="rId11"/>
  </sheets>
  <externalReferences>
    <externalReference r:id="rId12"/>
  </externalReferences>
  <definedNames>
    <definedName name="_xlnm.Print_Area" localSheetId="0">Apkopojums_SC_noma!$A$1:$E$27</definedName>
    <definedName name="_xlnm.Print_Area" localSheetId="5">ASC_2018_AerobZ!$A$1:$R$57</definedName>
    <definedName name="_xlnm.Print_Area" localSheetId="4">ASC_2018_DzZ!$A$1:$R$57</definedName>
    <definedName name="_xlnm.Print_Area" localSheetId="9">ASC_2018_Galda_teniss!$A$1:$R$57</definedName>
    <definedName name="_xlnm.Print_Area" localSheetId="3">ASC_2018_LZ!$A$1:$R$55</definedName>
    <definedName name="_xlnm.Print_Area" localSheetId="2">Noslodze!$A$1:$G$42</definedName>
    <definedName name="_xlnm.Print_Area" localSheetId="10">Tame!$A$1:$C$83</definedName>
  </definedNames>
  <calcPr calcId="152511"/>
</workbook>
</file>

<file path=xl/calcChain.xml><?xml version="1.0" encoding="utf-8"?>
<calcChain xmlns="http://schemas.openxmlformats.org/spreadsheetml/2006/main">
  <c r="B51" i="21" l="1"/>
  <c r="B38" i="21"/>
  <c r="B37" i="21"/>
  <c r="C11" i="21"/>
  <c r="D11" i="21"/>
  <c r="C10" i="21"/>
  <c r="D10" i="21"/>
  <c r="C9" i="21"/>
  <c r="D9" i="21"/>
  <c r="B9" i="21"/>
  <c r="B90" i="21"/>
  <c r="B89" i="21"/>
  <c r="B77" i="21"/>
  <c r="B64" i="21"/>
  <c r="B78" i="21"/>
  <c r="B76" i="21"/>
  <c r="B63" i="21"/>
  <c r="B65" i="21"/>
  <c r="C73" i="1"/>
  <c r="C77" i="1"/>
  <c r="C76" i="1"/>
  <c r="C73" i="23"/>
  <c r="C77" i="23"/>
  <c r="C76" i="23"/>
  <c r="C77" i="24"/>
  <c r="C76" i="24"/>
  <c r="C73" i="24"/>
  <c r="C71" i="31"/>
  <c r="F71" i="31"/>
  <c r="F71" i="30"/>
  <c r="C71" i="30"/>
  <c r="C68" i="32"/>
  <c r="C76" i="14"/>
  <c r="C77" i="14"/>
  <c r="C78" i="14"/>
  <c r="B50" i="21" l="1"/>
  <c r="C59" i="1"/>
  <c r="B23" i="21"/>
  <c r="B91" i="21" l="1"/>
  <c r="C91" i="21" s="1"/>
  <c r="D91" i="21" s="1"/>
  <c r="C90" i="21"/>
  <c r="D90" i="21" s="1"/>
  <c r="C89" i="21"/>
  <c r="E84" i="21"/>
  <c r="C78" i="21"/>
  <c r="D78" i="21" s="1"/>
  <c r="C77" i="21"/>
  <c r="D77" i="21" s="1"/>
  <c r="C76" i="21"/>
  <c r="E71" i="21"/>
  <c r="F71" i="32"/>
  <c r="C92" i="21" l="1"/>
  <c r="C88" i="21"/>
  <c r="D89" i="21"/>
  <c r="B88" i="21"/>
  <c r="C79" i="21"/>
  <c r="D76" i="21"/>
  <c r="C75" i="21"/>
  <c r="B75" i="21"/>
  <c r="E76" i="21" s="1"/>
  <c r="C55" i="32"/>
  <c r="C59" i="32"/>
  <c r="C79" i="32"/>
  <c r="C78" i="32"/>
  <c r="C77" i="32"/>
  <c r="C76" i="32"/>
  <c r="C73" i="32"/>
  <c r="C71" i="32"/>
  <c r="B48" i="32" s="1"/>
  <c r="C72" i="32"/>
  <c r="C65" i="32"/>
  <c r="C62" i="32"/>
  <c r="C61" i="32"/>
  <c r="C60" i="32"/>
  <c r="C56" i="32"/>
  <c r="C74" i="32"/>
  <c r="C69" i="32"/>
  <c r="B24" i="32" s="1"/>
  <c r="C57" i="32"/>
  <c r="B50" i="32"/>
  <c r="B30" i="32"/>
  <c r="B28" i="32"/>
  <c r="B26" i="32"/>
  <c r="A8" i="32"/>
  <c r="E78" i="21" l="1"/>
  <c r="E77" i="21"/>
  <c r="D88" i="21"/>
  <c r="E91" i="21"/>
  <c r="E90" i="21"/>
  <c r="E89" i="21"/>
  <c r="D75" i="21"/>
  <c r="C80" i="32"/>
  <c r="B46" i="32" s="1"/>
  <c r="A42" i="32" s="1"/>
  <c r="B10" i="32" s="1"/>
  <c r="C66" i="32"/>
  <c r="B19" i="32" s="1"/>
  <c r="A12" i="32" s="1"/>
  <c r="C78" i="10"/>
  <c r="C77" i="10" s="1"/>
  <c r="C76" i="10" s="1"/>
  <c r="C74" i="10"/>
  <c r="C73" i="10" s="1"/>
  <c r="C72" i="10" s="1"/>
  <c r="C68" i="10"/>
  <c r="C65" i="10"/>
  <c r="C62" i="10"/>
  <c r="C61" i="10" s="1"/>
  <c r="C59" i="10"/>
  <c r="C57" i="10"/>
  <c r="C51" i="10"/>
  <c r="C46" i="10"/>
  <c r="C40" i="10" s="1"/>
  <c r="C42" i="10"/>
  <c r="C37" i="10"/>
  <c r="C36" i="10" s="1"/>
  <c r="C32" i="10"/>
  <c r="C30" i="10" s="1"/>
  <c r="C23" i="10"/>
  <c r="C20" i="10" s="1"/>
  <c r="C21" i="10"/>
  <c r="C79" i="31"/>
  <c r="C74" i="31"/>
  <c r="C68" i="31"/>
  <c r="C57" i="31"/>
  <c r="C66" i="31" s="1"/>
  <c r="B48" i="31"/>
  <c r="A42" i="31" s="1"/>
  <c r="B10" i="31" s="1"/>
  <c r="B30" i="31"/>
  <c r="B28" i="31"/>
  <c r="A8" i="31"/>
  <c r="C12" i="10"/>
  <c r="C11" i="10"/>
  <c r="C7" i="10" s="1"/>
  <c r="C6" i="10" s="1"/>
  <c r="C5" i="10" s="1"/>
  <c r="C79" i="30"/>
  <c r="C20" i="27"/>
  <c r="D20" i="27"/>
  <c r="E20" i="27"/>
  <c r="F20" i="27"/>
  <c r="F22" i="27" s="1"/>
  <c r="G20" i="27"/>
  <c r="B20" i="27"/>
  <c r="E45" i="21"/>
  <c r="E12" i="27" s="1"/>
  <c r="E13" i="27" s="1"/>
  <c r="E32" i="21"/>
  <c r="D12" i="27" s="1"/>
  <c r="E4" i="21"/>
  <c r="B12" i="27" s="1"/>
  <c r="B13" i="27" s="1"/>
  <c r="E18" i="21"/>
  <c r="C12" i="27" s="1"/>
  <c r="C22" i="27" s="1"/>
  <c r="C63" i="21"/>
  <c r="B62" i="21"/>
  <c r="C64" i="21"/>
  <c r="D64" i="21" s="1"/>
  <c r="E58" i="21"/>
  <c r="C65" i="21"/>
  <c r="D65" i="21" s="1"/>
  <c r="B52" i="21"/>
  <c r="C52" i="21" s="1"/>
  <c r="D52" i="21" s="1"/>
  <c r="C51" i="21"/>
  <c r="D51" i="21" s="1"/>
  <c r="B39" i="21"/>
  <c r="C39" i="21" s="1"/>
  <c r="B24" i="21"/>
  <c r="C24" i="21" s="1"/>
  <c r="D24" i="21" s="1"/>
  <c r="B25" i="21"/>
  <c r="C25" i="21" s="1"/>
  <c r="D25" i="21" s="1"/>
  <c r="B10" i="21"/>
  <c r="C12" i="21"/>
  <c r="B16" i="27" s="1"/>
  <c r="B11" i="21"/>
  <c r="E11" i="21" s="1"/>
  <c r="B8" i="21"/>
  <c r="E10" i="21" s="1"/>
  <c r="G12" i="27"/>
  <c r="G13" i="27" s="1"/>
  <c r="C65" i="23"/>
  <c r="C70" i="24"/>
  <c r="C69" i="24"/>
  <c r="C68" i="24"/>
  <c r="C67" i="24"/>
  <c r="C66" i="24"/>
  <c r="C65" i="24"/>
  <c r="C68" i="30"/>
  <c r="C73" i="14"/>
  <c r="C70" i="14"/>
  <c r="C69" i="14"/>
  <c r="C68" i="14"/>
  <c r="C67" i="14"/>
  <c r="C66" i="14"/>
  <c r="C65" i="14"/>
  <c r="C64" i="14"/>
  <c r="C63" i="14"/>
  <c r="C74" i="30"/>
  <c r="C57" i="30"/>
  <c r="C66" i="30" s="1"/>
  <c r="B30" i="30"/>
  <c r="B28" i="30"/>
  <c r="A8" i="30"/>
  <c r="C78" i="1"/>
  <c r="C78" i="23"/>
  <c r="C78" i="24"/>
  <c r="F13" i="27"/>
  <c r="B8" i="14"/>
  <c r="A8" i="14"/>
  <c r="B28" i="1"/>
  <c r="C85" i="24"/>
  <c r="C83" i="14"/>
  <c r="C80" i="23"/>
  <c r="C61" i="1"/>
  <c r="B88" i="10"/>
  <c r="B100" i="10"/>
  <c r="B101" i="10" s="1"/>
  <c r="C79" i="24"/>
  <c r="C74" i="24"/>
  <c r="B26" i="24" s="1"/>
  <c r="A8" i="24"/>
  <c r="C23" i="21"/>
  <c r="C27" i="21" s="1"/>
  <c r="C16" i="27" s="1"/>
  <c r="C74" i="23"/>
  <c r="B26" i="23" s="1"/>
  <c r="C69" i="23"/>
  <c r="A8" i="23"/>
  <c r="C62" i="1"/>
  <c r="C74" i="14"/>
  <c r="B26" i="14" s="1"/>
  <c r="B55" i="14"/>
  <c r="A8" i="1"/>
  <c r="C74" i="1"/>
  <c r="B26" i="1" s="1"/>
  <c r="C37" i="21"/>
  <c r="D37" i="21" s="1"/>
  <c r="B30" i="24"/>
  <c r="C67" i="1"/>
  <c r="C66" i="23"/>
  <c r="C81" i="1"/>
  <c r="B30" i="1"/>
  <c r="B30" i="14"/>
  <c r="C70" i="1"/>
  <c r="C63" i="23"/>
  <c r="C70" i="23"/>
  <c r="C81" i="23"/>
  <c r="C81" i="24"/>
  <c r="B30" i="23"/>
  <c r="C65" i="1"/>
  <c r="C68" i="23"/>
  <c r="C81" i="14"/>
  <c r="C68" i="1"/>
  <c r="C82" i="23"/>
  <c r="C60" i="24"/>
  <c r="C80" i="14"/>
  <c r="C80" i="24"/>
  <c r="C60" i="1"/>
  <c r="B32" i="23"/>
  <c r="C82" i="14"/>
  <c r="C84" i="1"/>
  <c r="B32" i="14"/>
  <c r="C79" i="1"/>
  <c r="B32" i="1"/>
  <c r="C61" i="23"/>
  <c r="C61" i="24"/>
  <c r="C61" i="14"/>
  <c r="C79" i="14"/>
  <c r="C86" i="14" s="1"/>
  <c r="B51" i="14" s="1"/>
  <c r="C79" i="23"/>
  <c r="C63" i="24"/>
  <c r="C82" i="24"/>
  <c r="C82" i="1"/>
  <c r="B32" i="24"/>
  <c r="C62" i="24"/>
  <c r="C83" i="23"/>
  <c r="C66" i="1"/>
  <c r="C62" i="14"/>
  <c r="C60" i="23"/>
  <c r="C67" i="23"/>
  <c r="C60" i="14"/>
  <c r="C64" i="23"/>
  <c r="C83" i="24"/>
  <c r="C83" i="1"/>
  <c r="C85" i="14"/>
  <c r="C85" i="23"/>
  <c r="C64" i="24"/>
  <c r="C62" i="23"/>
  <c r="C85" i="1"/>
  <c r="C80" i="1"/>
  <c r="C63" i="1"/>
  <c r="F16" i="27"/>
  <c r="C38" i="21"/>
  <c r="D38" i="21"/>
  <c r="B48" i="30"/>
  <c r="A45" i="14" l="1"/>
  <c r="B10" i="14" s="1"/>
  <c r="B49" i="21"/>
  <c r="C86" i="23"/>
  <c r="B51" i="23" s="1"/>
  <c r="A45" i="23" s="1"/>
  <c r="B10" i="23" s="1"/>
  <c r="C19" i="10"/>
  <c r="C18" i="10" s="1"/>
  <c r="C35" i="10"/>
  <c r="C71" i="14"/>
  <c r="B21" i="14" s="1"/>
  <c r="C13" i="27"/>
  <c r="E9" i="21"/>
  <c r="E65" i="21"/>
  <c r="E64" i="21"/>
  <c r="E63" i="21"/>
  <c r="E22" i="27"/>
  <c r="C8" i="21"/>
  <c r="B36" i="21"/>
  <c r="E37" i="21" s="1"/>
  <c r="B22" i="27"/>
  <c r="C40" i="21"/>
  <c r="D16" i="27" s="1"/>
  <c r="D8" i="21"/>
  <c r="C36" i="21"/>
  <c r="B3" i="32"/>
  <c r="A12" i="30"/>
  <c r="C62" i="21"/>
  <c r="C66" i="21"/>
  <c r="G16" i="27" s="1"/>
  <c r="D63" i="21"/>
  <c r="D62" i="21" s="1"/>
  <c r="E51" i="21"/>
  <c r="E50" i="21"/>
  <c r="E52" i="21"/>
  <c r="D13" i="27"/>
  <c r="D22" i="27"/>
  <c r="B28" i="23"/>
  <c r="D39" i="21"/>
  <c r="D36" i="21" s="1"/>
  <c r="C71" i="23"/>
  <c r="B21" i="23" s="1"/>
  <c r="C71" i="24"/>
  <c r="B21" i="24" s="1"/>
  <c r="D23" i="21"/>
  <c r="D22" i="21" s="1"/>
  <c r="C50" i="21"/>
  <c r="C22" i="21"/>
  <c r="B28" i="14"/>
  <c r="A12" i="14" s="1"/>
  <c r="B3" i="14" s="1"/>
  <c r="B28" i="24"/>
  <c r="C86" i="24"/>
  <c r="B51" i="24" s="1"/>
  <c r="A45" i="24" s="1"/>
  <c r="B10" i="24" s="1"/>
  <c r="C86" i="1"/>
  <c r="B50" i="1" s="1"/>
  <c r="A44" i="1" s="1"/>
  <c r="B10" i="1" s="1"/>
  <c r="B22" i="21"/>
  <c r="E24" i="21" s="1"/>
  <c r="C71" i="1"/>
  <c r="B21" i="1" s="1"/>
  <c r="A12" i="1" s="1"/>
  <c r="A12" i="31"/>
  <c r="B3" i="31" s="1"/>
  <c r="C80" i="31"/>
  <c r="C80" i="30"/>
  <c r="A42" i="30"/>
  <c r="B10" i="30" s="1"/>
  <c r="B3" i="30" s="1"/>
  <c r="G11" i="27" s="1"/>
  <c r="A12" i="23" l="1"/>
  <c r="B3" i="23" s="1"/>
  <c r="B20" i="21" s="1"/>
  <c r="E38" i="21"/>
  <c r="E39" i="21"/>
  <c r="I3" i="31"/>
  <c r="K3" i="31" s="1"/>
  <c r="L3" i="31" s="1"/>
  <c r="M3" i="31" s="1"/>
  <c r="E70" i="21" s="1"/>
  <c r="F70" i="21" s="1"/>
  <c r="B79" i="21" s="1"/>
  <c r="B73" i="21"/>
  <c r="C73" i="21" s="1"/>
  <c r="I3" i="32"/>
  <c r="K3" i="32" s="1"/>
  <c r="L3" i="32" s="1"/>
  <c r="M3" i="32" s="1"/>
  <c r="E83" i="21" s="1"/>
  <c r="F83" i="21" s="1"/>
  <c r="B92" i="21" s="1"/>
  <c r="B86" i="21"/>
  <c r="C86" i="21" s="1"/>
  <c r="B3" i="1"/>
  <c r="B47" i="21"/>
  <c r="C47" i="21" s="1"/>
  <c r="I3" i="14"/>
  <c r="K3" i="14" s="1"/>
  <c r="A12" i="24"/>
  <c r="B3" i="24" s="1"/>
  <c r="I3" i="24" s="1"/>
  <c r="E25" i="21"/>
  <c r="E23" i="21"/>
  <c r="D50" i="21"/>
  <c r="D49" i="21" s="1"/>
  <c r="C53" i="21"/>
  <c r="E16" i="27" s="1"/>
  <c r="C49" i="21"/>
  <c r="I3" i="30"/>
  <c r="K3" i="30" s="1"/>
  <c r="L3" i="30" s="1"/>
  <c r="M3" i="30" s="1"/>
  <c r="B60" i="21"/>
  <c r="C60" i="21" s="1"/>
  <c r="I3" i="23"/>
  <c r="I4" i="14"/>
  <c r="K4" i="14" s="1"/>
  <c r="I4" i="31" l="1"/>
  <c r="K4" i="31" s="1"/>
  <c r="L4" i="31" s="1"/>
  <c r="M4" i="31" s="1"/>
  <c r="I4" i="32"/>
  <c r="K4" i="32" s="1"/>
  <c r="L4" i="32" s="1"/>
  <c r="M4" i="32" s="1"/>
  <c r="E11" i="27"/>
  <c r="B93" i="21"/>
  <c r="B34" i="21"/>
  <c r="C34" i="21" s="1"/>
  <c r="D73" i="21"/>
  <c r="F72" i="21" s="1"/>
  <c r="C80" i="21"/>
  <c r="B80" i="21"/>
  <c r="C93" i="21"/>
  <c r="D86" i="21"/>
  <c r="F85" i="21" s="1"/>
  <c r="B6" i="21"/>
  <c r="C6" i="21" s="1"/>
  <c r="C13" i="21" s="1"/>
  <c r="I3" i="1"/>
  <c r="F11" i="27"/>
  <c r="I4" i="30"/>
  <c r="K4" i="30" s="1"/>
  <c r="L4" i="30" s="1"/>
  <c r="M4" i="30" s="1"/>
  <c r="L3" i="14"/>
  <c r="M3" i="14"/>
  <c r="E44" i="21" s="1"/>
  <c r="I4" i="23"/>
  <c r="K4" i="23" s="1"/>
  <c r="K3" i="23"/>
  <c r="L3" i="23" s="1"/>
  <c r="I4" i="24"/>
  <c r="K4" i="24" s="1"/>
  <c r="K3" i="24"/>
  <c r="L3" i="24" s="1"/>
  <c r="M3" i="24" s="1"/>
  <c r="L8" i="14"/>
  <c r="L4" i="14"/>
  <c r="M4" i="14"/>
  <c r="C20" i="21"/>
  <c r="D47" i="21"/>
  <c r="C54" i="21"/>
  <c r="D60" i="21"/>
  <c r="C67" i="21"/>
  <c r="E57" i="21"/>
  <c r="F57" i="21" s="1"/>
  <c r="B66" i="21" s="1"/>
  <c r="G14" i="27"/>
  <c r="G15" i="27" s="1"/>
  <c r="D11" i="27" l="1"/>
  <c r="D79" i="21"/>
  <c r="D80" i="21" s="1"/>
  <c r="E72" i="21"/>
  <c r="D92" i="21"/>
  <c r="D93" i="21" s="1"/>
  <c r="E85" i="21"/>
  <c r="D6" i="21"/>
  <c r="B11" i="27" s="1"/>
  <c r="I4" i="1"/>
  <c r="K4" i="1" s="1"/>
  <c r="K3" i="1"/>
  <c r="L3" i="1" s="1"/>
  <c r="F46" i="21"/>
  <c r="C28" i="21"/>
  <c r="D20" i="21"/>
  <c r="L4" i="24"/>
  <c r="L4" i="23"/>
  <c r="M3" i="23"/>
  <c r="F44" i="21"/>
  <c r="E14" i="27"/>
  <c r="E15" i="27" s="1"/>
  <c r="B53" i="21"/>
  <c r="C41" i="21"/>
  <c r="D34" i="21"/>
  <c r="F59" i="21"/>
  <c r="G17" i="27"/>
  <c r="G18" i="27" s="1"/>
  <c r="B67" i="21"/>
  <c r="F5" i="21" l="1"/>
  <c r="D12" i="21" s="1"/>
  <c r="L4" i="1"/>
  <c r="M3" i="1"/>
  <c r="F14" i="27"/>
  <c r="F33" i="21"/>
  <c r="D53" i="21"/>
  <c r="D54" i="21" s="1"/>
  <c r="E46" i="21"/>
  <c r="E17" i="27"/>
  <c r="E18" i="27" s="1"/>
  <c r="B54" i="21"/>
  <c r="M4" i="23"/>
  <c r="E17" i="21"/>
  <c r="F17" i="21" s="1"/>
  <c r="B27" i="21" s="1"/>
  <c r="C14" i="27"/>
  <c r="C15" i="27" s="1"/>
  <c r="C11" i="27"/>
  <c r="F19" i="21"/>
  <c r="M4" i="24"/>
  <c r="D14" i="27"/>
  <c r="D15" i="27" s="1"/>
  <c r="E31" i="21"/>
  <c r="F31" i="21" s="1"/>
  <c r="B40" i="21" s="1"/>
  <c r="D66" i="21"/>
  <c r="D67" i="21" s="1"/>
  <c r="E59" i="21"/>
  <c r="E5" i="21" l="1"/>
  <c r="D13" i="21"/>
  <c r="M4" i="1"/>
  <c r="E3" i="21"/>
  <c r="F15" i="27"/>
  <c r="F17" i="27"/>
  <c r="F18" i="27" s="1"/>
  <c r="E19" i="21"/>
  <c r="D27" i="21"/>
  <c r="D28" i="21" s="1"/>
  <c r="E33" i="21"/>
  <c r="D40" i="21"/>
  <c r="D41" i="21" s="1"/>
  <c r="D17" i="27"/>
  <c r="D18" i="27" s="1"/>
  <c r="B41" i="21"/>
  <c r="C17" i="27"/>
  <c r="C18" i="27" s="1"/>
  <c r="B28" i="21"/>
  <c r="B14" i="27" l="1"/>
  <c r="B15" i="27" s="1"/>
  <c r="F3" i="21"/>
  <c r="B12" i="21" s="1"/>
  <c r="B13" i="21" l="1"/>
  <c r="B17" i="27"/>
  <c r="B18" i="27" s="1"/>
</calcChain>
</file>

<file path=xl/sharedStrings.xml><?xml version="1.0" encoding="utf-8"?>
<sst xmlns="http://schemas.openxmlformats.org/spreadsheetml/2006/main" count="1003" uniqueCount="355">
  <si>
    <t>Nomas maksas noteikšanas metodika, ja nekustamo īpašumu iznomā publiskai personai, tās iestādei vai kapitālsabiedrībai publiskas funkcijas veikšanai</t>
  </si>
  <si>
    <t>NM =</t>
  </si>
  <si>
    <t>(Tizm/NĪpl + Nizm) x IZNpl</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</si>
  <si>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</si>
  <si>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</si>
  <si>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</si>
  <si>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</si>
  <si>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</si>
  <si>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</si>
  <si>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</si>
  <si>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</si>
  <si>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</si>
  <si>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</si>
  <si>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</si>
  <si>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</si>
  <si>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</si>
  <si>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</si>
  <si>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</si>
  <si>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Baps</t>
  </si>
  <si>
    <t>P</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</si>
  <si>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</si>
  <si>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</si>
  <si>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</si>
  <si>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</si>
  <si>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</si>
  <si>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</si>
  <si>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</si>
  <si>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</si>
  <si>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</si>
  <si>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</si>
  <si>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</si>
  <si>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</si>
  <si>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</si>
  <si>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</si>
  <si>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</si>
  <si>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</si>
  <si>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</si>
  <si>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</si>
  <si>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ūdens</t>
  </si>
  <si>
    <t>elektrība</t>
  </si>
  <si>
    <t>L&amp;T</t>
  </si>
  <si>
    <t>Inženiertīklu uzturēšana, remonts</t>
  </si>
  <si>
    <t>Kurināmais</t>
  </si>
  <si>
    <t>Kārtējā remonta un iestāžu un uzturēšanas materiāl</t>
  </si>
  <si>
    <t>deratizācija utt.</t>
  </si>
  <si>
    <t>Iekārtu, inventāra uzturēšana un remonts</t>
  </si>
  <si>
    <t>EKK</t>
  </si>
  <si>
    <t>Ēku, būvju un telpu uzturēšana, EPS</t>
  </si>
  <si>
    <t>Aiziet uz 21.rindu</t>
  </si>
  <si>
    <t>Sporta centra vadītājs</t>
  </si>
  <si>
    <t>3 administratori</t>
  </si>
  <si>
    <t>Apkopējas</t>
  </si>
  <si>
    <t>Internets</t>
  </si>
  <si>
    <t>Bankas komisijas</t>
  </si>
  <si>
    <t>Darbinieku veselības pārbaude</t>
  </si>
  <si>
    <t>Iekārtu un inventāra īre un noma</t>
  </si>
  <si>
    <t>Biroja preces</t>
  </si>
  <si>
    <t>Inventārs</t>
  </si>
  <si>
    <t>Mēnesī</t>
  </si>
  <si>
    <t>Dienā</t>
  </si>
  <si>
    <t>Rādītāju nosaukumi</t>
  </si>
  <si>
    <t>Budžeta kategoriju kodi</t>
  </si>
  <si>
    <t>EUR</t>
  </si>
  <si>
    <t>1</t>
  </si>
  <si>
    <t>2</t>
  </si>
  <si>
    <t>4</t>
  </si>
  <si>
    <t>I IEŅĒMUMI - kopā</t>
  </si>
  <si>
    <t/>
  </si>
  <si>
    <t>Budžeta iestāžu ieņēmumi</t>
  </si>
  <si>
    <t>21.0.0.0.</t>
  </si>
  <si>
    <t>Ieņēmumi no budžeta iestāžu sniegtajiem maksas pakalpojumiem un citi pašu ieņēmumi</t>
  </si>
  <si>
    <t xml:space="preserve">    21.3.0.0.</t>
  </si>
  <si>
    <t>Ieņēmumi par nomu un īri</t>
  </si>
  <si>
    <t xml:space="preserve">      21.3.8.0.</t>
  </si>
  <si>
    <t>Ieņēmumi par telpu nomu</t>
  </si>
  <si>
    <t xml:space="preserve">        21.3.8.1.</t>
  </si>
  <si>
    <t>Ieņēmumi par zemes nomu</t>
  </si>
  <si>
    <t xml:space="preserve">        21.3.8.4.</t>
  </si>
  <si>
    <t>Ieņēmumi par pārējiem budžeta iestāžu sniegtajiem maksas pakalpojumiem</t>
  </si>
  <si>
    <t xml:space="preserve">      21.3.9.0.</t>
  </si>
  <si>
    <t>Citi ieņēmumi par maksas pakalpojumiem</t>
  </si>
  <si>
    <t xml:space="preserve">        21.3.9.9.</t>
  </si>
  <si>
    <t xml:space="preserve"> </t>
  </si>
  <si>
    <t>II IZDEVUMI - kopā</t>
  </si>
  <si>
    <t>Atlīdzība</t>
  </si>
  <si>
    <t>1000</t>
  </si>
  <si>
    <t>Atalgojums</t>
  </si>
  <si>
    <t xml:space="preserve">    1100</t>
  </si>
  <si>
    <t>Mēnešalga</t>
  </si>
  <si>
    <t xml:space="preserve">      1110</t>
  </si>
  <si>
    <t>Pārējo darbinieku mēnešalga (darba alga)</t>
  </si>
  <si>
    <t xml:space="preserve">        1119</t>
  </si>
  <si>
    <t>Piemaksas, prēmijas un naudas balvas</t>
  </si>
  <si>
    <t xml:space="preserve">      1140</t>
  </si>
  <si>
    <t>Prēmijas, naudas balvas un materiālā stimulēšana</t>
  </si>
  <si>
    <t xml:space="preserve">        1148</t>
  </si>
  <si>
    <t>Atalgojums fiziskajām personām uz tiesiskās attiecības regulējošu dokumentu pamata</t>
  </si>
  <si>
    <t xml:space="preserve">      1150</t>
  </si>
  <si>
    <t>Darba devēja valsts sociālās apdrošināšanas obligātās iemaksas, sociāla rakstura pabalsti un kompensācijas</t>
  </si>
  <si>
    <t xml:space="preserve">    1200</t>
  </si>
  <si>
    <t>Darba devēja valsts sociālās apdrošināšanas obligātās iemaksas</t>
  </si>
  <si>
    <t xml:space="preserve">      1210</t>
  </si>
  <si>
    <t>Darba devēja sociāla rakstura pabalsti, kompensācijas un citi maksājumi</t>
  </si>
  <si>
    <t xml:space="preserve">      1220</t>
  </si>
  <si>
    <t>Darba devēja pabalsti un kompensācijas, no kuriem aprēķina ienākuma nodokli, valsts sociālās apdrošināšanas obligātās iemaksas</t>
  </si>
  <si>
    <t xml:space="preserve">        1221</t>
  </si>
  <si>
    <t>Darba devēja pabalsti un kompensācijas, no kā neaprēķina ienākuma nodokli, valsts sociālās apdrošināšanas obligātās iemaksas</t>
  </si>
  <si>
    <t xml:space="preserve">        1228</t>
  </si>
  <si>
    <t>Preces un pakalpojumi</t>
  </si>
  <si>
    <t>2000</t>
  </si>
  <si>
    <t>Pakalpojumi</t>
  </si>
  <si>
    <t xml:space="preserve">    2200</t>
  </si>
  <si>
    <t>Pasta, telefona un citi sakaru pakalpojumi</t>
  </si>
  <si>
    <t xml:space="preserve">      2210</t>
  </si>
  <si>
    <t>Izdevumi par komunālajiem pakalpojumiem</t>
  </si>
  <si>
    <t xml:space="preserve">      2220</t>
  </si>
  <si>
    <t>Izdevumi par ūdeni un kanalizāciju</t>
  </si>
  <si>
    <t xml:space="preserve">        2222</t>
  </si>
  <si>
    <t>Izdevumi par elektroenerģiju</t>
  </si>
  <si>
    <t xml:space="preserve">        2223</t>
  </si>
  <si>
    <t>Izdevumi par pārējiem komunālajiem pakalpojumiem</t>
  </si>
  <si>
    <t xml:space="preserve">        2229</t>
  </si>
  <si>
    <t>Iestādes administratīvie izdevumi un ar iestādes darbības nodrošināšanu saistītie izdevumi</t>
  </si>
  <si>
    <t xml:space="preserve">      2230</t>
  </si>
  <si>
    <t>Izdevumi par transporta pakalpojumiem</t>
  </si>
  <si>
    <t xml:space="preserve">        2233</t>
  </si>
  <si>
    <t>Normatīvajos aktos noteiktie darba devēja veselības izdevumi darba ņēmējiem</t>
  </si>
  <si>
    <t xml:space="preserve">        2234</t>
  </si>
  <si>
    <t>Bankas komisija, pakalpojumi</t>
  </si>
  <si>
    <t xml:space="preserve">        2236</t>
  </si>
  <si>
    <t>Pārējie iestādes administratīvie izdevumi</t>
  </si>
  <si>
    <t xml:space="preserve">        2239</t>
  </si>
  <si>
    <t>Remontdarbi un telpu uzturēšana</t>
  </si>
  <si>
    <t xml:space="preserve">      2240</t>
  </si>
  <si>
    <t>Ēku, būvju un telpu kārtējais remonts</t>
  </si>
  <si>
    <t xml:space="preserve">        2241</t>
  </si>
  <si>
    <t>Iekārtas, inventāra un aparatūras remonts, tehniskā apkalpošana</t>
  </si>
  <si>
    <t xml:space="preserve">        2243</t>
  </si>
  <si>
    <t>Ēku, būvju un telpu uzturēšana</t>
  </si>
  <si>
    <t xml:space="preserve">        2244</t>
  </si>
  <si>
    <t>Apdrošināšanas izdevumi</t>
  </si>
  <si>
    <t xml:space="preserve">        2247</t>
  </si>
  <si>
    <t>Pārējie remontdarbu un iestāžu uzturēšanas pakalpojumi</t>
  </si>
  <si>
    <t xml:space="preserve">        2249</t>
  </si>
  <si>
    <t>Īre un noma</t>
  </si>
  <si>
    <t xml:space="preserve">      2260</t>
  </si>
  <si>
    <t xml:space="preserve">        2264</t>
  </si>
  <si>
    <t>Citi pakalpojumi</t>
  </si>
  <si>
    <t xml:space="preserve">      2270</t>
  </si>
  <si>
    <t>Pārējie iepriekš neklasificētie pakalpojumu veidi</t>
  </si>
  <si>
    <t xml:space="preserve">        2279</t>
  </si>
  <si>
    <t>Krājumi, materiāli, energoresursi, preces, biroja preces un inventārs, kurus neuzskaita kodā 5000</t>
  </si>
  <si>
    <t xml:space="preserve">    2300</t>
  </si>
  <si>
    <t>Biroja preces un inventārs</t>
  </si>
  <si>
    <t xml:space="preserve">      2310</t>
  </si>
  <si>
    <t xml:space="preserve">        2311</t>
  </si>
  <si>
    <t xml:space="preserve">        2312</t>
  </si>
  <si>
    <t>Kurināmais un enerģētiskie materiāli</t>
  </si>
  <si>
    <t xml:space="preserve">      2320</t>
  </si>
  <si>
    <t xml:space="preserve">        2321</t>
  </si>
  <si>
    <t>Degviela</t>
  </si>
  <si>
    <t xml:space="preserve">        2322</t>
  </si>
  <si>
    <t>Zāles, ķimikālijas, laboratorijas preces, medicīniskās ierīces, medicīniskie instrumenti, laboratorijas dzīvnieki un to uzturēšana</t>
  </si>
  <si>
    <t xml:space="preserve">      2340</t>
  </si>
  <si>
    <t>Zāles, ķimikālijas, laboratorijas preces</t>
  </si>
  <si>
    <t xml:space="preserve">        2341</t>
  </si>
  <si>
    <t>Kārtējā remonta un iestāžu uzturēšanas materiāli</t>
  </si>
  <si>
    <t xml:space="preserve">      2350</t>
  </si>
  <si>
    <t>Pārējās preces</t>
  </si>
  <si>
    <t xml:space="preserve">      2390</t>
  </si>
  <si>
    <t>Subsīdijas un dotācijas</t>
  </si>
  <si>
    <t>3000</t>
  </si>
  <si>
    <t>Subsīdijas un dotācijas komersantiem, biedrībām un nodibinājumiem, izņemot lauksaimniecības ražošanu</t>
  </si>
  <si>
    <t xml:space="preserve">    3200</t>
  </si>
  <si>
    <t>Valsts un pašvaldību budžeta dotācija komersantiem, biedrībām, nodibinājumiem un fiziskām personām</t>
  </si>
  <si>
    <t xml:space="preserve">      3260</t>
  </si>
  <si>
    <t>Valsts un pašvaldību budžeta dotācija biedrībām un nodibinājumiem</t>
  </si>
  <si>
    <t xml:space="preserve">        3263</t>
  </si>
  <si>
    <t>Pamatkapitāla veidošana</t>
  </si>
  <si>
    <t>5000</t>
  </si>
  <si>
    <t>Pamatlīdzekļi</t>
  </si>
  <si>
    <t xml:space="preserve">    5200</t>
  </si>
  <si>
    <t>Pārējie pamatlīdzekļi</t>
  </si>
  <si>
    <t xml:space="preserve">      5230</t>
  </si>
  <si>
    <t>Saimniecības pamatlīdzekļi</t>
  </si>
  <si>
    <t xml:space="preserve">        5232</t>
  </si>
  <si>
    <t>Datortehnika, sakaru un cita biroja tehnika</t>
  </si>
  <si>
    <t xml:space="preserve">        5238</t>
  </si>
  <si>
    <t>Pamatlīdzekļu izveidošana un nepabeigtā būvniecība</t>
  </si>
  <si>
    <t xml:space="preserve">      5240</t>
  </si>
  <si>
    <t xml:space="preserve">Ēku, būvju un telpu remonts. </t>
  </si>
  <si>
    <t>Visu pārējo darbinieku atlīdzība (bez baseina)</t>
  </si>
  <si>
    <t>Prognozētā noslodze st./mēnesī:</t>
  </si>
  <si>
    <t>Nomas telpu noslodze un apmaksa:</t>
  </si>
  <si>
    <t>Telpas uzturēšanas izmaksas gadā:</t>
  </si>
  <si>
    <t>Telpas noslogojums (stundās):</t>
  </si>
  <si>
    <t>Stundas:</t>
  </si>
  <si>
    <t>Ieņēmumi no telpu iznomāšanas:</t>
  </si>
  <si>
    <t>Uzturēšanas izmaksas - ieņēmumi:</t>
  </si>
  <si>
    <t>Zāles īre par stundu, lai nosegtu izmaksas.</t>
  </si>
  <si>
    <t>Spēkā esošā maksa par stundu.</t>
  </si>
  <si>
    <t>Pēc MK noteikumiem aprēķinātā nomas maksa stundā (ja maksā visi)</t>
  </si>
  <si>
    <t>Noslodze</t>
  </si>
  <si>
    <t>Bez PVN/ stundā</t>
  </si>
  <si>
    <t>Ar PVN/ stundā</t>
  </si>
  <si>
    <t>Džudo zāle</t>
  </si>
  <si>
    <t>Stundas/ gadā:</t>
  </si>
  <si>
    <t>Aerobikas zāle</t>
  </si>
  <si>
    <t>Aprēķins MK</t>
  </si>
  <si>
    <t>Spēkā esošā cena</t>
  </si>
  <si>
    <t>Maksa, lai ar maksas pakalpojumiem nosegtu uzturēš.</t>
  </si>
  <si>
    <t>iesniegums.</t>
  </si>
  <si>
    <t>Iesniedzam izvērtēšanai šobrīd spēkā esošās Sporta centra telpu nomas maksas un to ietekmi uz pašvaldības budžetu, balstoties uz telpu faktiskās noslodzes apjomu.</t>
  </si>
  <si>
    <t>Nolietojums/gadā:</t>
  </si>
  <si>
    <t>Slaucītājs - kolektors</t>
  </si>
  <si>
    <t>Zāles pļāvējs</t>
  </si>
  <si>
    <t>Baseinā - akustiskā sistēma</t>
  </si>
  <si>
    <t>Akustiskā sistēma aerobikas zālē</t>
  </si>
  <si>
    <t>Baseinā - atskaņotājs</t>
  </si>
  <si>
    <t>Baseinā - atslēgu stendi</t>
  </si>
  <si>
    <t>Baseinā - ģērbtuvēs skapīši</t>
  </si>
  <si>
    <t>LZ - grīdas mazgājamā mašīna</t>
  </si>
  <si>
    <t>Baseinā - LED digitālais pulkstenis</t>
  </si>
  <si>
    <t>Plaukti aerobikas zālē</t>
  </si>
  <si>
    <t>Plānotie ieņēmumi no telpu iznomāšanas (ar spēkā esošo cenu)</t>
  </si>
  <si>
    <t>Plānotie ieņēmumi no telpu iznomāšanas (ar aprēķināto pēc MK)</t>
  </si>
  <si>
    <t>Spēkā esošā cena (bez PVN)</t>
  </si>
  <si>
    <t>Aprēķins MK (bez PVN)</t>
  </si>
  <si>
    <t>Cenu starpība</t>
  </si>
  <si>
    <t>Plānoto ieņēmumu starpība</t>
  </si>
  <si>
    <t>Pamatojums cenu starpībai</t>
  </si>
  <si>
    <t>Šobrīd spēkā esošā cena atbilst vidējai tirgus cenai. Zāles noslogojums (īres laiks ~ 33%; ĀBJSS  un ĀVSK ~67%)</t>
  </si>
  <si>
    <t>Lielā zāle (stundas noma)</t>
  </si>
  <si>
    <t>Džudo zāle (stundas noma)</t>
  </si>
  <si>
    <t>Aerobikas zāle (stundas noma)</t>
  </si>
  <si>
    <t>Priekšlikums cenas izmaiņai (bez PVN)</t>
  </si>
  <si>
    <t>Iespējamais īres laiks dienā max 6,5h (7%)</t>
  </si>
  <si>
    <t>Šobrīd spēkā esošā cena atbilst vidējai tirgus cenai. Zāles noslogojums (īres laiks ~ 9%; ĀBJSS ~58%; ĀVSK ~34%)</t>
  </si>
  <si>
    <t>Stundā (ja īrei pieejamais max laiks ~4h)</t>
  </si>
  <si>
    <t>Ieņēmumi - Uzturēšanas izmaksas:</t>
  </si>
  <si>
    <t>Pielikumā:</t>
  </si>
  <si>
    <t>Detalizētās tāmes.</t>
  </si>
  <si>
    <t>Apkopējas, tieši saistīto darbinieku izmaksas</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</si>
  <si>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</si>
  <si>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</si>
  <si>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apkalpošana </t>
  </si>
  <si>
    <t xml:space="preserve">un remonts, iekštelpu kosmētiskais remonts, komunālo pakalpojumu līgumu administrēšana un citi pakalpojumi) plānotās izmaksas, plānotās materiālu un ātri nolietojamā inventāra </t>
  </si>
  <si>
    <t xml:space="preserve">izmaksas gadā, kas rodas nekustamā īpašuma iznomātājam attiecīgā nekustamā īpašuma apsaimniekošanā, </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</si>
  <si>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</si>
  <si>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</si>
  <si>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 xml:space="preserve">to pamatlīdzekļu plānotās uzturēšanas izmaksas, tai skaitā nolietojuma summa gadā, kurus izmanto vai plānots izmantot nekustamā īpašuma un tam piegulošās teritorijas sanitārajā </t>
  </si>
  <si>
    <t>uzkopšanā;</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</si>
  <si>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</si>
  <si>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</si>
  <si>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</si>
  <si>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</si>
  <si>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</si>
  <si>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</si>
  <si>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</si>
  <si>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</si>
  <si>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</si>
  <si>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</si>
  <si>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iznomātāja visu nekustamo īpašumu sastāvā esošo būvju kopējā iznomājamā platība.</t>
  </si>
  <si>
    <t xml:space="preserve">    Kapitālais remonts un rekonstrukcija</t>
  </si>
  <si>
    <t xml:space="preserve">    5250</t>
  </si>
  <si>
    <t xml:space="preserve">  Pārējie 21.3.0.0.grupā neklasificētie budžeta iestāžu ieņēmumi par budžeta iestāžu sniegtajiem maksas pakalpojumiem un citi pašu ieņēmumi</t>
  </si>
  <si>
    <t xml:space="preserve">  21.4.0.0.</t>
  </si>
  <si>
    <t xml:space="preserve">     Citi iepriekš neklasificētie pašu ieņēmumi</t>
  </si>
  <si>
    <t xml:space="preserve">    21.4.9.0.</t>
  </si>
  <si>
    <t xml:space="preserve">    Pārējie iepriekš neklasificētie pašu ieņēmumi</t>
  </si>
  <si>
    <t xml:space="preserve">      21.4.9.9.</t>
  </si>
  <si>
    <t xml:space="preserve">    Darba devēja piešķirtie labumi un maksājumi</t>
  </si>
  <si>
    <t xml:space="preserve">    1170</t>
  </si>
  <si>
    <t>Tizm = A + Baps + P + N + Apdr + Zn +  C+K/IznP, kur</t>
  </si>
  <si>
    <t>Aiziet uz 26.rindu</t>
  </si>
  <si>
    <t>Aiziet uz 50.rindu</t>
  </si>
  <si>
    <r>
      <t>0812:</t>
    </r>
    <r>
      <rPr>
        <sz val="11"/>
        <color indexed="62"/>
        <rFont val="Calibri"/>
        <family val="2"/>
        <charset val="186"/>
      </rPr>
      <t xml:space="preserve"> 6984.36 EUR</t>
    </r>
  </si>
  <si>
    <t>Cenas pieaugums/(samazinājums)</t>
  </si>
  <si>
    <t>Galda tenisa zāle</t>
  </si>
  <si>
    <t>Pie reālās situācijas, ka ~2st./ dienā tad cenai būtu jābūt:</t>
  </si>
  <si>
    <t>Šobrīd spēkā esošā cena atbilst vidējai tirgus cenai. Zāles noslogojums (īres laiks ~ 41%; ĀBJSS  un ĀVSK ~59%)</t>
  </si>
  <si>
    <t>Spēkā esošā cena (ar PVN)</t>
  </si>
  <si>
    <t>Priekšlikums cenas izmaiņai (ar PVN) noapaļots</t>
  </si>
  <si>
    <t>Baseins 1 apmeklējums (60 min)</t>
  </si>
  <si>
    <t>Samaksa par visrsstundu darbu un darbu svētku dienās</t>
  </si>
  <si>
    <t>Piemaksa par persnisko darba ieguldījumu un darba kvalitāti</t>
  </si>
  <si>
    <t>Piemaksa par papildus darbu</t>
  </si>
  <si>
    <t>Mācību, darba un dienesta komandējumi, dienesta, darba braucieni</t>
  </si>
  <si>
    <t>Dienas nauda komnadējumiem</t>
  </si>
  <si>
    <t>Iekšzemes mācību, darba un dienesta komandējumi, dienesta, darba braucieni</t>
  </si>
  <si>
    <t>Pārējie komandējumu un dienesta, darba braucienu izdevumi</t>
  </si>
  <si>
    <t>Pārējie iepriekš neklasificētie pamatlīdzekļi</t>
  </si>
  <si>
    <t>Internets, telefons</t>
  </si>
  <si>
    <t>Ēku, būvju un telpu uzturēšana, Futbola laukuma sagatavošana un uzturēšana</t>
  </si>
  <si>
    <t>Stundā (ja mēnesī izmanto 7h)</t>
  </si>
  <si>
    <t>Tehniskais darbinieks</t>
  </si>
  <si>
    <t>Stundā (ja dienā 6.5h)</t>
  </si>
  <si>
    <t>Futbola laukums</t>
  </si>
  <si>
    <t>Stundā (ja īrei pieejamais max laiks ~3h)</t>
  </si>
  <si>
    <t>Vidusskola (35h nedēļā) (zāles izmantošana bez maksas):</t>
  </si>
  <si>
    <t>Potenciālie Ieņēmumi no telpu iznomāšanas:</t>
  </si>
  <si>
    <t>ĀBJSS, izmanto 50h nedēļā (zāles izmantošana bez maksas):</t>
  </si>
  <si>
    <t>Vidusskola (30h nedēļā) (zāles izmantošana bez maksas):</t>
  </si>
  <si>
    <t>ĀBJSS, izmanto 47h nedēļā (zāles izmantošana bez maksas):</t>
  </si>
  <si>
    <t>Zāles īre, pieejams 57h nedēļā (maksas pakalpojums):</t>
  </si>
  <si>
    <t>Futbola laukuma īre par stundu, lai nosegtu izmaksas.</t>
  </si>
  <si>
    <t>Sporta daļas vadītājs______________A.Rozītis</t>
  </si>
  <si>
    <t>2020.gada 12.martā</t>
  </si>
  <si>
    <t>Cīņu zāle</t>
  </si>
  <si>
    <t>Sporta zāle</t>
  </si>
  <si>
    <t>Šobrīd spēkā esošā cena atbilst vidējai tirgus cenai. Zāles noslogojums (īres laiks ~ 13%; ĀBJSS ~56%; ĀVSK ~37%)</t>
  </si>
  <si>
    <t>Izpilde no 01.01.2021. - 31.12.2021.</t>
  </si>
  <si>
    <t>Sporta nodaļas vadītāja vietnieks</t>
  </si>
  <si>
    <t>Rožu ielas Futbola laukums</t>
  </si>
  <si>
    <t>Carnikavas Futbola laukums</t>
  </si>
  <si>
    <t>Ādažu Futbola laukums</t>
  </si>
  <si>
    <t>Sporta nodaļas vadītājs un vadītāja vietnieks</t>
  </si>
  <si>
    <t>Stundā (ja dienā izmanto 5h)</t>
  </si>
  <si>
    <t>Vidusskola (35h nedēļā, 24 nedēļas (futbola laukuma izmantošana bez maksas):</t>
  </si>
  <si>
    <t>Carnikavas pamatskola (35h nedēļā, 36 nedēļas (zāles izmantošana bez maksas):</t>
  </si>
  <si>
    <t>Carnikavas interešu izglītības programmas, izmanto 35h nedēļā, 52 nedēļas (zāles izmantošana bez maksas):</t>
  </si>
  <si>
    <t>Futbola laikums īre, pieejams 34h nedēļā, 28 nedēļas (maksas pakalpojums):</t>
  </si>
  <si>
    <t>Fubola laukuma īre, pieejams 18h nedēļā, 52 nedēļas (maksas pakalpojums):</t>
  </si>
  <si>
    <t>Futbola laukuma īre, pieejams 34h nedēļā, 24 nedēļas (maksas pakalpojums):</t>
  </si>
  <si>
    <t>ĀBJSS, izmanto 12h nedēļā, 24 nedēļas (futbola laukuma izmantošana bez maksas):</t>
  </si>
  <si>
    <t>Zāles īre, pieejams 18h nedēļā (maksas pakalpojums):</t>
  </si>
  <si>
    <t>Zāles īre, pieejams 30h nedēļā (maksas pakalpojums):</t>
  </si>
  <si>
    <t>ĀBJSS, izmanto 20h nedēļā (zāles izmantošana bez maksas):</t>
  </si>
  <si>
    <t>ĀBJSS, izmanto 16h nedēļā (zāles izmantošana bez maksas):</t>
  </si>
  <si>
    <t>Lielā sporta zāle</t>
  </si>
  <si>
    <t>Sporta laukumu izmaksu salīdzinājums</t>
  </si>
  <si>
    <t>Ogre</t>
  </si>
  <si>
    <t>23,00EUR</t>
  </si>
  <si>
    <t>Futbola laukums dabīgais zālājs</t>
  </si>
  <si>
    <t>129,00EUR</t>
  </si>
  <si>
    <t xml:space="preserve">Futbola laukums ar sintētisko segumu </t>
  </si>
  <si>
    <t>58,00EUR</t>
  </si>
  <si>
    <t>Babīte</t>
  </si>
  <si>
    <t>70,00EUR</t>
  </si>
  <si>
    <t>Baldone</t>
  </si>
  <si>
    <t>22,00EUR</t>
  </si>
  <si>
    <t>70,00EUR treniņi</t>
  </si>
  <si>
    <t>100,00EUR spēles</t>
  </si>
  <si>
    <t>Arkādija (Rīga)</t>
  </si>
  <si>
    <t>140,00EUR</t>
  </si>
  <si>
    <t>Olaine</t>
  </si>
  <si>
    <t>85,00EUR treniņi</t>
  </si>
  <si>
    <t>140,00EUR spēles</t>
  </si>
  <si>
    <t>Iecava</t>
  </si>
  <si>
    <t>60,00EUR treniņi</t>
  </si>
  <si>
    <t>80,00EUR spēles</t>
  </si>
  <si>
    <t>Salaspils</t>
  </si>
  <si>
    <t>40,00EUR</t>
  </si>
  <si>
    <t>80,00EUR</t>
  </si>
  <si>
    <t>Sporta zāles no 20,00- 80,00EUR atkarībā no sporta zāles izmēra un aprīkojuma.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</si>
</sst>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 #,##0_-;_-* &quot;-&quot;??_-;_-@_-"/>
  </numFmts>
  <fonts count="54" x14ac:knownFonts="1">
    <font>
      <sz val="11"/>
      <color indexed="8"/>
      <name val="Calibri"/>
      <family val="2"/>
      <charset val="186"/>
    </font>
    <font>
      <sz val="11"/>
      <color indexed="8"/>
      <name val="Calibri"/>
      <family val="2"/>
      <charset val="186"/>
    </font>
    <font>
      <b/>
      <sz val="10"/>
      <color indexed="8"/>
      <name val="Verdana"/>
      <family val="2"/>
      <charset val="186"/>
    </font>
    <font>
      <sz val="9"/>
      <color indexed="8"/>
      <name val="Verdana"/>
      <family val="2"/>
      <charset val="186"/>
    </font>
    <font>
      <sz val="10"/>
      <color indexed="8"/>
      <name val="Calibri"/>
      <family val="2"/>
      <charset val="186"/>
    </font>
    <font>
      <sz val="10"/>
      <name val="Arial"/>
      <family val="2"/>
      <charset val="186"/>
    </font>
    <font>
      <b/>
      <sz val="10"/>
      <name val="Arial"/>
      <family val="2"/>
      <charset val="186"/>
    </font>
    <font>
      <sz val="11"/>
      <name val="Calibri"/>
      <family val="2"/>
      <charset val="186"/>
    </font>
    <font>
      <b/>
      <sz val="11"/>
      <color indexed="8"/>
      <name val="Calibri"/>
      <family val="2"/>
      <charset val="186"/>
    </font>
    <font>
      <b/>
      <sz val="8"/>
      <color indexed="8"/>
      <name val="Times New Roman"/>
      <family val="1"/>
      <charset val="186"/>
    </font>
    <font>
      <b/>
      <sz val="6"/>
      <color indexed="8"/>
      <name val="Times New Roman"/>
      <family val="1"/>
      <charset val="186"/>
    </font>
    <font>
      <sz val="8"/>
      <color indexed="8"/>
      <name val="Times New Roman"/>
      <family val="1"/>
      <charset val="186"/>
    </font>
    <font>
      <sz val="11"/>
      <color indexed="8"/>
      <name val="Times New Roman"/>
      <family val="1"/>
    </font>
    <font>
      <b/>
      <sz val="11"/>
      <color indexed="8"/>
      <name val="Times New Roman"/>
      <family val="1"/>
    </font>
    <font>
      <sz val="11"/>
      <name val="Times New Roman"/>
      <family val="1"/>
    </font>
    <font>
      <sz val="10"/>
      <name val="Times New Roman"/>
      <family val="1"/>
      <charset val="186"/>
    </font>
    <font>
      <b/>
      <sz val="11"/>
      <name val="Times New Roman"/>
      <family val="1"/>
      <charset val="186"/>
    </font>
    <font>
      <sz val="11"/>
      <name val="Times New Roman"/>
      <family val="1"/>
      <charset val="186"/>
    </font>
    <font>
      <b/>
      <sz val="8"/>
      <color indexed="8"/>
      <name val="Times New Roman"/>
      <family val="1"/>
    </font>
    <font>
      <i/>
      <sz val="11"/>
      <color indexed="8"/>
      <name val="Times New Roman"/>
      <family val="1"/>
    </font>
    <font>
      <i/>
      <sz val="11"/>
      <color indexed="8"/>
      <name val="Calibri"/>
      <family val="2"/>
    </font>
    <font>
      <sz val="11"/>
      <color indexed="62"/>
      <name val="Calibri"/>
      <family val="2"/>
      <charset val="186"/>
    </font>
    <font>
      <i/>
      <sz val="11"/>
      <name val="Times New Roman"/>
      <family val="1"/>
    </font>
    <font>
      <i/>
      <sz val="11"/>
      <name val="Times New Roman"/>
      <family val="1"/>
      <charset val="186"/>
    </font>
    <font>
      <b/>
      <sz val="11"/>
      <color indexed="8"/>
      <name val="Times New Roman"/>
      <family val="1"/>
      <charset val="186"/>
    </font>
    <font>
      <sz val="8"/>
      <color indexed="8"/>
      <name val="Times New Roman"/>
      <family val="1"/>
    </font>
    <font>
      <b/>
      <sz val="11"/>
      <name val="Times New Roman"/>
      <family val="1"/>
    </font>
    <font>
      <b/>
      <sz val="11"/>
      <color indexed="8"/>
      <name val="Calibri"/>
      <family val="2"/>
    </font>
    <font>
      <sz val="11"/>
      <color theme="3"/>
      <name val="Calibri"/>
      <family val="2"/>
      <charset val="186"/>
    </font>
    <font>
      <sz val="11"/>
      <color rgb="FFFF0000"/>
      <name val="Calibri"/>
      <family val="2"/>
      <charset val="186"/>
    </font>
    <font>
      <sz val="10"/>
      <color rgb="FFFF0000"/>
      <name val="Calibri"/>
      <family val="2"/>
      <charset val="186"/>
    </font>
    <font>
      <b/>
      <sz val="11"/>
      <color theme="3"/>
      <name val="Calibri"/>
      <family val="2"/>
      <charset val="186"/>
    </font>
    <font>
      <sz val="11"/>
      <color theme="4"/>
      <name val="Calibri"/>
      <family val="2"/>
      <charset val="186"/>
    </font>
    <font>
      <b/>
      <sz val="11"/>
      <color theme="4"/>
      <name val="Calibri"/>
      <family val="2"/>
      <charset val="186"/>
    </font>
    <font>
      <i/>
      <sz val="11"/>
      <color theme="3"/>
      <name val="Calibri"/>
      <family val="2"/>
    </font>
    <font>
      <sz val="11"/>
      <color theme="5"/>
      <name val="Calibri"/>
      <family val="2"/>
      <charset val="186"/>
    </font>
    <font>
      <sz val="10"/>
      <color theme="5"/>
      <name val="Calibri"/>
      <family val="2"/>
      <charset val="186"/>
    </font>
    <font>
      <sz val="11"/>
      <color rgb="FFFF0000"/>
      <name val="Times New Roman"/>
      <family val="1"/>
    </font>
    <font>
      <sz val="11"/>
      <color theme="1"/>
      <name val="Times New Roman"/>
      <family val="1"/>
    </font>
    <font>
      <sz val="10"/>
      <color rgb="FFFF0000"/>
      <name val="Arial"/>
      <family val="2"/>
      <charset val="186"/>
    </font>
    <font>
      <sz val="11"/>
      <color rgb="FFFF0000"/>
      <name val="Times New Roman"/>
      <family val="1"/>
      <charset val="186"/>
    </font>
    <font>
      <b/>
      <sz val="11"/>
      <color rgb="FF1F3864"/>
      <name val="Calibri"/>
      <family val="2"/>
      <charset val="186"/>
    </font>
    <font>
      <b/>
      <sz val="11"/>
      <color theme="1"/>
      <name val="Times New Roman"/>
      <family val="1"/>
      <charset val="186"/>
    </font>
    <font>
      <b/>
      <sz val="16"/>
      <color indexed="8"/>
      <name val="Times New Roman"/>
      <family val="1"/>
    </font>
    <font>
      <b/>
      <sz val="20"/>
      <color indexed="8"/>
      <name val="Times New Roman"/>
      <family val="1"/>
    </font>
    <font>
      <b/>
      <sz val="22"/>
      <color indexed="8"/>
      <name val="Times New Roman"/>
      <family val="1"/>
    </font>
    <font>
      <b/>
      <sz val="24"/>
      <color indexed="8"/>
      <name val="Times New Roman"/>
      <family val="1"/>
    </font>
    <font>
      <b/>
      <sz val="28"/>
      <color indexed="8"/>
      <name val="Times New Roman"/>
      <family val="1"/>
    </font>
    <font>
      <b/>
      <i/>
      <sz val="11"/>
      <name val="Times New Roman"/>
      <family val="1"/>
    </font>
    <font>
      <b/>
      <i/>
      <sz val="12"/>
      <name val="Times New Roman"/>
      <family val="1"/>
    </font>
    <font>
      <b/>
      <sz val="16"/>
      <color theme="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s>
  <fills count="14">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99"/>
        <bgColor indexed="64"/>
      </patternFill>
    </fill>
    <fill>
      <patternFill patternType="solid">
        <fgColor theme="3" tint="0.59999389629810485"/>
        <bgColor indexed="64"/>
      </patternFill>
    </fill>
    <fill>
      <patternFill patternType="solid">
        <fgColor theme="0"/>
        <bgColor indexed="64"/>
      </patternFill>
    </fill>
  </fills>
  <borders count="33">
    <border>
      <left/>
      <right/>
      <top/>
      <bottom/>
      <diagonal/>
    </border>
    <border>
      <left/>
      <right/>
      <top/>
      <bottom style="medium">
        <color indexed="8"/>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0"/>
      </bottom>
      <diagonal/>
    </border>
    <border>
      <left style="thin">
        <color indexed="64"/>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0" fontId="15" fillId="0" borderId="0"/>
    <xf numFmtId="9" fontId="1" fillId="0" borderId="0" applyFont="0" applyFill="0" applyBorder="0" applyAlignment="0" applyProtection="0"/>
  </cellStyleXfs>
  <cellXfs count="292">
    <xf numFmtId="0" fontId="0" fillId="0" borderId="0" xfId="0"/>
    <xf numFmtId="0" fontId="2" fillId="0" borderId="0" xfId="0" applyFont="1"/>
    <xf numFmtId="0" fontId="0" fillId="0" borderId="0" xfId="0" applyFill="1"/>
    <xf numFmtId="165" fontId="1" fillId="2" borderId="0" xfId="1" applyNumberFormat="1" applyFont="1" applyFill="1"/>
    <xf numFmtId="0" fontId="3" fillId="0" borderId="0" xfId="0" applyFont="1" applyFill="1" applyAlignment="1">
      <alignment horizontal="right" vertical="center" indent="1"/>
    </xf>
    <xf numFmtId="0" fontId="3" fillId="0" borderId="1" xfId="0" applyFont="1" applyFill="1" applyBorder="1" applyAlignment="1">
      <alignment horizontal="center" vertical="center"/>
    </xf>
    <xf numFmtId="0" fontId="0" fillId="0" borderId="0" xfId="0" applyAlignment="1">
      <alignment horizontal="right"/>
    </xf>
    <xf numFmtId="164" fontId="1" fillId="3" borderId="0" xfId="1" applyFont="1" applyFill="1"/>
    <xf numFmtId="165" fontId="1" fillId="0" borderId="0" xfId="1" applyNumberFormat="1" applyFont="1"/>
    <xf numFmtId="0" fontId="3" fillId="0" borderId="0" xfId="0" applyFont="1" applyFill="1" applyAlignment="1">
      <alignment horizontal="center" vertical="center"/>
    </xf>
    <xf numFmtId="164" fontId="0" fillId="3" borderId="0" xfId="0" applyNumberFormat="1" applyFill="1"/>
    <xf numFmtId="165" fontId="1" fillId="4" borderId="0" xfId="1" applyNumberFormat="1" applyFont="1" applyFill="1"/>
    <xf numFmtId="0" fontId="3" fillId="0" borderId="0" xfId="0" applyFont="1" applyAlignment="1">
      <alignment vertical="center"/>
    </xf>
    <xf numFmtId="9" fontId="1" fillId="0" borderId="0" xfId="4" applyFont="1"/>
    <xf numFmtId="0" fontId="3" fillId="0" borderId="0" xfId="0" applyFont="1" applyAlignment="1"/>
    <xf numFmtId="0" fontId="0" fillId="0" borderId="0" xfId="0" applyAlignment="1">
      <alignment vertical="center"/>
    </xf>
    <xf numFmtId="0" fontId="3" fillId="0" borderId="0" xfId="0" applyFont="1" applyAlignment="1">
      <alignment horizontal="left" vertical="center"/>
    </xf>
    <xf numFmtId="0" fontId="0" fillId="0" borderId="0" xfId="0" applyFill="1" applyAlignment="1">
      <alignment vertical="center"/>
    </xf>
    <xf numFmtId="0" fontId="3" fillId="0" borderId="0" xfId="0" applyFont="1" applyAlignment="1">
      <alignment horizontal="left" vertical="center" indent="1"/>
    </xf>
    <xf numFmtId="164" fontId="0" fillId="4" borderId="0" xfId="1" applyFont="1" applyFill="1"/>
    <xf numFmtId="0" fontId="3" fillId="0" borderId="0" xfId="0" applyFont="1"/>
    <xf numFmtId="165" fontId="0" fillId="4" borderId="0" xfId="1" applyNumberFormat="1" applyFont="1" applyFill="1"/>
    <xf numFmtId="0" fontId="3" fillId="0" borderId="0" xfId="0" applyFont="1" applyFill="1" applyAlignment="1">
      <alignment horizontal="left" vertical="center" wrapText="1"/>
    </xf>
    <xf numFmtId="0" fontId="4" fillId="0" borderId="0" xfId="0" applyFont="1"/>
    <xf numFmtId="0" fontId="5" fillId="0" borderId="0" xfId="0" applyFont="1" applyAlignment="1">
      <alignment horizontal="left"/>
    </xf>
    <xf numFmtId="0" fontId="5" fillId="0" borderId="0" xfId="0" applyFont="1"/>
    <xf numFmtId="165" fontId="5" fillId="0" borderId="0" xfId="1" applyNumberFormat="1" applyFont="1" applyAlignment="1">
      <alignment horizontal="left"/>
    </xf>
    <xf numFmtId="0" fontId="4" fillId="0" borderId="0" xfId="0" applyFont="1" applyAlignment="1">
      <alignment horizontal="left"/>
    </xf>
    <xf numFmtId="0" fontId="0" fillId="0" borderId="0" xfId="0" applyAlignment="1">
      <alignment horizontal="left"/>
    </xf>
    <xf numFmtId="165" fontId="7" fillId="4" borderId="0" xfId="1" applyNumberFormat="1" applyFont="1" applyFill="1"/>
    <xf numFmtId="0" fontId="0" fillId="5" borderId="0" xfId="0" applyFill="1"/>
    <xf numFmtId="165" fontId="6" fillId="5" borderId="0" xfId="1" applyNumberFormat="1" applyFont="1" applyFill="1" applyAlignment="1">
      <alignment horizontal="left"/>
    </xf>
    <xf numFmtId="0" fontId="8" fillId="0" borderId="0" xfId="0" applyFont="1" applyAlignment="1">
      <alignment horizontal="right"/>
    </xf>
    <xf numFmtId="165" fontId="0" fillId="4" borderId="0" xfId="0" applyNumberFormat="1" applyFill="1"/>
    <xf numFmtId="0" fontId="28" fillId="0" borderId="0" xfId="0" applyFont="1"/>
    <xf numFmtId="0" fontId="8" fillId="0" borderId="0" xfId="0" applyFont="1"/>
    <xf numFmtId="164" fontId="1" fillId="0" borderId="0" xfId="1" applyNumberFormat="1" applyFont="1"/>
    <xf numFmtId="164" fontId="0" fillId="0" borderId="0" xfId="0" applyNumberFormat="1"/>
    <xf numFmtId="0" fontId="10" fillId="0" borderId="2" xfId="0" applyNumberFormat="1" applyFont="1" applyFill="1" applyBorder="1" applyAlignment="1" applyProtection="1">
      <alignment horizontal="center" wrapText="1"/>
    </xf>
    <xf numFmtId="0" fontId="9" fillId="0" borderId="2" xfId="0" applyNumberFormat="1" applyFont="1" applyFill="1" applyBorder="1" applyAlignment="1" applyProtection="1">
      <alignment horizontal="center" wrapText="1"/>
    </xf>
    <xf numFmtId="0" fontId="9" fillId="0" borderId="2" xfId="0" applyNumberFormat="1" applyFont="1" applyFill="1" applyBorder="1" applyAlignment="1" applyProtection="1">
      <alignment horizontal="left" wrapText="1"/>
    </xf>
    <xf numFmtId="0" fontId="11" fillId="0" borderId="2"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center" wrapText="1"/>
    </xf>
    <xf numFmtId="165" fontId="1" fillId="5" borderId="0" xfId="1" applyNumberFormat="1" applyFont="1" applyFill="1"/>
    <xf numFmtId="165" fontId="11" fillId="0" borderId="2" xfId="1" applyNumberFormat="1" applyFont="1" applyFill="1" applyBorder="1" applyAlignment="1" applyProtection="1">
      <alignment horizontal="right" wrapText="1"/>
    </xf>
    <xf numFmtId="165" fontId="29" fillId="0" borderId="0" xfId="1" applyNumberFormat="1" applyFont="1" applyAlignment="1">
      <alignment horizontal="left"/>
    </xf>
    <xf numFmtId="165" fontId="7" fillId="0" borderId="0" xfId="1" applyNumberFormat="1" applyFont="1" applyAlignment="1">
      <alignment horizontal="left"/>
    </xf>
    <xf numFmtId="165" fontId="7" fillId="6" borderId="0" xfId="1" applyNumberFormat="1" applyFont="1" applyFill="1"/>
    <xf numFmtId="165" fontId="1" fillId="6" borderId="0" xfId="1" applyNumberFormat="1" applyFont="1" applyFill="1"/>
    <xf numFmtId="0" fontId="30" fillId="0" borderId="0" xfId="0" applyFont="1" applyAlignment="1">
      <alignment horizontal="left"/>
    </xf>
    <xf numFmtId="0" fontId="8" fillId="5" borderId="0" xfId="0" applyFont="1" applyFill="1"/>
    <xf numFmtId="164" fontId="1" fillId="5" borderId="0" xfId="1" applyNumberFormat="1" applyFont="1" applyFill="1"/>
    <xf numFmtId="0" fontId="0" fillId="5" borderId="0" xfId="0" applyFill="1" applyAlignment="1">
      <alignment horizontal="right"/>
    </xf>
    <xf numFmtId="0" fontId="31" fillId="0" borderId="0" xfId="0" applyFont="1"/>
    <xf numFmtId="0" fontId="32" fillId="0" borderId="0" xfId="0" applyFont="1"/>
    <xf numFmtId="0" fontId="33" fillId="0" borderId="0" xfId="0" applyFont="1"/>
    <xf numFmtId="165" fontId="32" fillId="0" borderId="0" xfId="0" applyNumberFormat="1" applyFont="1"/>
    <xf numFmtId="0" fontId="32" fillId="0" borderId="0" xfId="0" applyFont="1" applyAlignment="1">
      <alignment horizontal="right"/>
    </xf>
    <xf numFmtId="164" fontId="32" fillId="3" borderId="0" xfId="1" applyFont="1" applyFill="1"/>
    <xf numFmtId="164" fontId="32" fillId="3" borderId="0" xfId="0" applyNumberFormat="1" applyFont="1" applyFill="1"/>
    <xf numFmtId="0" fontId="0" fillId="5" borderId="3" xfId="0" applyFill="1" applyBorder="1"/>
    <xf numFmtId="164" fontId="28" fillId="0" borderId="0" xfId="0" applyNumberFormat="1" applyFont="1"/>
    <xf numFmtId="0" fontId="34" fillId="0" borderId="0" xfId="0" applyFont="1" applyAlignment="1">
      <alignment horizontal="right"/>
    </xf>
    <xf numFmtId="164" fontId="34" fillId="0" borderId="0" xfId="0" applyNumberFormat="1" applyFont="1"/>
    <xf numFmtId="165" fontId="35" fillId="0" borderId="0" xfId="1" applyNumberFormat="1" applyFont="1" applyAlignment="1">
      <alignment horizontal="left"/>
    </xf>
    <xf numFmtId="0" fontId="36" fillId="0" borderId="0" xfId="0" applyFont="1" applyAlignment="1">
      <alignment horizontal="left"/>
    </xf>
    <xf numFmtId="0" fontId="12" fillId="0" borderId="0" xfId="0" applyFont="1"/>
    <xf numFmtId="0" fontId="13" fillId="0" borderId="0" xfId="0" applyFont="1"/>
    <xf numFmtId="165" fontId="12" fillId="0" borderId="0" xfId="1" applyNumberFormat="1" applyFont="1" applyAlignment="1">
      <alignment horizontal="right"/>
    </xf>
    <xf numFmtId="165" fontId="14" fillId="0" borderId="0" xfId="0" applyNumberFormat="1" applyFont="1"/>
    <xf numFmtId="165" fontId="13" fillId="0" borderId="0" xfId="1" applyNumberFormat="1" applyFont="1"/>
    <xf numFmtId="0" fontId="12" fillId="0" borderId="0" xfId="0" applyFont="1" applyAlignment="1">
      <alignment horizontal="right" wrapText="1"/>
    </xf>
    <xf numFmtId="165" fontId="13" fillId="7" borderId="0" xfId="1" applyNumberFormat="1" applyFont="1" applyFill="1"/>
    <xf numFmtId="165" fontId="12" fillId="7" borderId="0" xfId="1" applyNumberFormat="1" applyFont="1" applyFill="1" applyAlignment="1">
      <alignment horizontal="right"/>
    </xf>
    <xf numFmtId="165" fontId="12" fillId="7" borderId="0" xfId="0" applyNumberFormat="1" applyFont="1" applyFill="1"/>
    <xf numFmtId="165" fontId="13" fillId="5" borderId="0" xfId="1" applyNumberFormat="1" applyFont="1" applyFill="1"/>
    <xf numFmtId="165" fontId="12" fillId="5" borderId="0" xfId="1" applyNumberFormat="1" applyFont="1" applyFill="1" applyAlignment="1">
      <alignment horizontal="right"/>
    </xf>
    <xf numFmtId="165" fontId="14" fillId="5" borderId="0" xfId="0" applyNumberFormat="1" applyFont="1" applyFill="1"/>
    <xf numFmtId="0" fontId="13" fillId="0" borderId="4" xfId="0" applyFont="1" applyBorder="1"/>
    <xf numFmtId="165" fontId="13" fillId="0" borderId="5" xfId="1" applyNumberFormat="1" applyFont="1" applyBorder="1"/>
    <xf numFmtId="165" fontId="13" fillId="5" borderId="5" xfId="1" applyNumberFormat="1" applyFont="1" applyFill="1" applyBorder="1"/>
    <xf numFmtId="165" fontId="13" fillId="7" borderId="6" xfId="1" applyNumberFormat="1" applyFont="1" applyFill="1" applyBorder="1"/>
    <xf numFmtId="165" fontId="13" fillId="0" borderId="5" xfId="0" applyNumberFormat="1" applyFont="1" applyBorder="1"/>
    <xf numFmtId="165" fontId="13" fillId="5" borderId="5" xfId="0" applyNumberFormat="1" applyFont="1" applyFill="1" applyBorder="1"/>
    <xf numFmtId="165" fontId="13" fillId="7" borderId="6" xfId="0" applyNumberFormat="1" applyFont="1" applyFill="1" applyBorder="1"/>
    <xf numFmtId="9" fontId="13" fillId="0" borderId="0" xfId="4" applyFont="1"/>
    <xf numFmtId="164" fontId="28" fillId="0" borderId="0" xfId="1" applyNumberFormat="1" applyFont="1"/>
    <xf numFmtId="165" fontId="13" fillId="7" borderId="5" xfId="1" applyNumberFormat="1" applyFont="1" applyFill="1" applyBorder="1"/>
    <xf numFmtId="0" fontId="0" fillId="8" borderId="0" xfId="0" applyFill="1"/>
    <xf numFmtId="0" fontId="11" fillId="0" borderId="0" xfId="0" applyNumberFormat="1" applyFont="1" applyFill="1" applyBorder="1" applyAlignment="1" applyProtection="1">
      <alignment horizontal="left" wrapText="1"/>
    </xf>
    <xf numFmtId="0" fontId="18" fillId="0" borderId="0" xfId="0" applyNumberFormat="1" applyFont="1" applyFill="1" applyBorder="1" applyAlignment="1" applyProtection="1">
      <alignment horizontal="left" wrapText="1"/>
    </xf>
    <xf numFmtId="165" fontId="11" fillId="0" borderId="15" xfId="1" applyNumberFormat="1" applyFont="1" applyFill="1" applyBorder="1" applyAlignment="1" applyProtection="1">
      <alignment horizontal="right" wrapText="1"/>
    </xf>
    <xf numFmtId="165" fontId="18" fillId="5" borderId="0" xfId="0" applyNumberFormat="1" applyFont="1" applyFill="1" applyBorder="1" applyAlignment="1" applyProtection="1">
      <alignment horizontal="left" wrapText="1"/>
    </xf>
    <xf numFmtId="165" fontId="18" fillId="5" borderId="2" xfId="1" applyNumberFormat="1" applyFont="1" applyFill="1" applyBorder="1" applyAlignment="1" applyProtection="1">
      <alignment horizontal="right" wrapText="1"/>
    </xf>
    <xf numFmtId="0" fontId="38" fillId="0" borderId="0" xfId="0" applyFont="1"/>
    <xf numFmtId="0" fontId="19" fillId="0" borderId="0" xfId="0" applyFont="1"/>
    <xf numFmtId="164" fontId="20" fillId="0" borderId="0" xfId="0" applyNumberFormat="1" applyFont="1"/>
    <xf numFmtId="0" fontId="29" fillId="0" borderId="0" xfId="0" applyFont="1"/>
    <xf numFmtId="165" fontId="29" fillId="0" borderId="0" xfId="1" applyNumberFormat="1" applyFont="1"/>
    <xf numFmtId="0" fontId="39" fillId="0" borderId="0" xfId="0" applyFont="1" applyAlignment="1">
      <alignment horizontal="left"/>
    </xf>
    <xf numFmtId="0" fontId="39" fillId="0" borderId="0" xfId="0" applyFont="1"/>
    <xf numFmtId="165" fontId="39" fillId="0" borderId="0" xfId="1" applyNumberFormat="1" applyFont="1" applyAlignment="1">
      <alignment horizontal="left"/>
    </xf>
    <xf numFmtId="0" fontId="0" fillId="0" borderId="0" xfId="0" applyAlignment="1">
      <alignment horizontal="left" wrapText="1"/>
    </xf>
    <xf numFmtId="0" fontId="40" fillId="0" borderId="0" xfId="0" applyFont="1"/>
    <xf numFmtId="0" fontId="41" fillId="0" borderId="0" xfId="0" applyFont="1" applyAlignment="1">
      <alignment vertical="center"/>
    </xf>
    <xf numFmtId="0" fontId="17" fillId="0" borderId="0" xfId="0" applyFont="1"/>
    <xf numFmtId="0" fontId="17" fillId="0" borderId="0" xfId="0" applyFont="1" applyAlignment="1">
      <alignment horizontal="right"/>
    </xf>
    <xf numFmtId="0" fontId="17" fillId="0" borderId="0" xfId="0" applyFont="1" applyAlignment="1">
      <alignment horizontal="center" vertical="center"/>
    </xf>
    <xf numFmtId="0" fontId="17" fillId="0" borderId="0" xfId="0" applyFont="1" applyAlignment="1">
      <alignment wrapText="1"/>
    </xf>
    <xf numFmtId="0" fontId="24" fillId="0" borderId="0" xfId="0" applyFont="1"/>
    <xf numFmtId="0" fontId="42" fillId="0" borderId="0" xfId="0" applyFont="1"/>
    <xf numFmtId="164" fontId="1" fillId="9" borderId="0" xfId="1" applyNumberFormat="1" applyFont="1" applyFill="1"/>
    <xf numFmtId="0" fontId="11" fillId="0" borderId="2" xfId="0" applyNumberFormat="1" applyFont="1" applyFill="1" applyBorder="1" applyAlignment="1" applyProtection="1">
      <alignment horizontal="right" wrapText="1"/>
    </xf>
    <xf numFmtId="0" fontId="18" fillId="0" borderId="2" xfId="0" applyNumberFormat="1" applyFont="1" applyFill="1" applyBorder="1" applyAlignment="1" applyProtection="1">
      <alignment horizontal="left" wrapText="1"/>
    </xf>
    <xf numFmtId="0" fontId="25" fillId="0" borderId="2" xfId="0" applyNumberFormat="1" applyFont="1" applyFill="1" applyBorder="1" applyAlignment="1" applyProtection="1">
      <alignment horizontal="left" wrapText="1"/>
    </xf>
    <xf numFmtId="0" fontId="25" fillId="0" borderId="2" xfId="0" applyNumberFormat="1" applyFont="1" applyFill="1" applyBorder="1" applyAlignment="1" applyProtection="1">
      <alignment horizontal="right" wrapText="1"/>
    </xf>
    <xf numFmtId="0" fontId="17" fillId="0" borderId="16" xfId="0" applyFont="1" applyBorder="1"/>
    <xf numFmtId="0" fontId="26" fillId="0" borderId="16" xfId="0" applyFont="1" applyBorder="1" applyAlignment="1">
      <alignment horizontal="center" vertical="center" wrapText="1"/>
    </xf>
    <xf numFmtId="0" fontId="13" fillId="0" borderId="16" xfId="0" applyFont="1" applyBorder="1" applyAlignment="1">
      <alignment horizontal="center" vertical="center"/>
    </xf>
    <xf numFmtId="0" fontId="16" fillId="0" borderId="16" xfId="0" applyFont="1" applyBorder="1"/>
    <xf numFmtId="165" fontId="16" fillId="0" borderId="16" xfId="1" applyNumberFormat="1" applyFont="1" applyBorder="1"/>
    <xf numFmtId="3" fontId="13" fillId="0" borderId="16" xfId="0" applyNumberFormat="1" applyFont="1" applyBorder="1"/>
    <xf numFmtId="0" fontId="16" fillId="7" borderId="16" xfId="0" applyFont="1" applyFill="1" applyBorder="1"/>
    <xf numFmtId="164" fontId="16" fillId="7" borderId="16" xfId="1" applyFont="1" applyFill="1" applyBorder="1"/>
    <xf numFmtId="2" fontId="42" fillId="7" borderId="16" xfId="0" applyNumberFormat="1" applyFont="1" applyFill="1" applyBorder="1"/>
    <xf numFmtId="0" fontId="42" fillId="7" borderId="16" xfId="0" applyFont="1" applyFill="1" applyBorder="1"/>
    <xf numFmtId="0" fontId="17" fillId="10" borderId="16" xfId="0" applyFont="1" applyFill="1" applyBorder="1"/>
    <xf numFmtId="164" fontId="17" fillId="10" borderId="16" xfId="1" applyFont="1" applyFill="1" applyBorder="1"/>
    <xf numFmtId="2" fontId="38" fillId="10" borderId="16" xfId="0" applyNumberFormat="1" applyFont="1" applyFill="1" applyBorder="1"/>
    <xf numFmtId="0" fontId="23" fillId="0" borderId="16" xfId="0" applyFont="1" applyBorder="1" applyAlignment="1">
      <alignment horizontal="right"/>
    </xf>
    <xf numFmtId="164" fontId="23" fillId="0" borderId="16" xfId="0" applyNumberFormat="1" applyFont="1" applyBorder="1"/>
    <xf numFmtId="0" fontId="17" fillId="7" borderId="16" xfId="0" applyFont="1" applyFill="1" applyBorder="1" applyAlignment="1">
      <alignment wrapText="1"/>
    </xf>
    <xf numFmtId="165" fontId="17" fillId="7" borderId="16" xfId="1" applyNumberFormat="1" applyFont="1" applyFill="1" applyBorder="1"/>
    <xf numFmtId="0" fontId="17" fillId="10" borderId="16" xfId="0" applyFont="1" applyFill="1" applyBorder="1" applyAlignment="1">
      <alignment wrapText="1"/>
    </xf>
    <xf numFmtId="165" fontId="17" fillId="10" borderId="16" xfId="1" applyNumberFormat="1" applyFont="1" applyFill="1" applyBorder="1"/>
    <xf numFmtId="165" fontId="17" fillId="0" borderId="16" xfId="1" applyNumberFormat="1" applyFont="1" applyBorder="1"/>
    <xf numFmtId="0" fontId="17" fillId="0" borderId="16" xfId="0" applyFont="1" applyBorder="1" applyAlignment="1">
      <alignment horizontal="justify" wrapText="1"/>
    </xf>
    <xf numFmtId="0" fontId="16" fillId="11" borderId="16" xfId="0" applyFont="1" applyFill="1" applyBorder="1"/>
    <xf numFmtId="164" fontId="16" fillId="11" borderId="16" xfId="0" applyNumberFormat="1" applyFont="1" applyFill="1" applyBorder="1" applyAlignment="1">
      <alignment horizontal="justify" wrapText="1"/>
    </xf>
    <xf numFmtId="0" fontId="17" fillId="11" borderId="16" xfId="0" applyFont="1" applyFill="1" applyBorder="1"/>
    <xf numFmtId="164" fontId="17" fillId="11" borderId="16" xfId="0" applyNumberFormat="1" applyFont="1" applyFill="1" applyBorder="1" applyAlignment="1">
      <alignment horizontal="justify" wrapText="1"/>
    </xf>
    <xf numFmtId="3" fontId="12" fillId="7" borderId="16" xfId="0" applyNumberFormat="1" applyFont="1" applyFill="1" applyBorder="1"/>
    <xf numFmtId="3" fontId="12" fillId="10" borderId="16" xfId="0" applyNumberFormat="1" applyFont="1" applyFill="1" applyBorder="1"/>
    <xf numFmtId="3" fontId="12" fillId="0" borderId="16" xfId="0" applyNumberFormat="1" applyFont="1" applyBorder="1"/>
    <xf numFmtId="0" fontId="26" fillId="8" borderId="16" xfId="0" applyFont="1" applyFill="1" applyBorder="1" applyAlignment="1">
      <alignment horizontal="center" vertical="center" wrapText="1"/>
    </xf>
    <xf numFmtId="0" fontId="16" fillId="6" borderId="16" xfId="0" applyFont="1" applyFill="1" applyBorder="1" applyAlignment="1">
      <alignment wrapText="1"/>
    </xf>
    <xf numFmtId="164" fontId="16" fillId="6" borderId="16" xfId="0" applyNumberFormat="1" applyFont="1" applyFill="1" applyBorder="1" applyAlignment="1">
      <alignment horizontal="justify" wrapText="1"/>
    </xf>
    <xf numFmtId="0" fontId="27" fillId="0" borderId="0" xfId="0" applyFont="1"/>
    <xf numFmtId="165" fontId="9" fillId="5" borderId="2" xfId="2" applyNumberFormat="1" applyFont="1" applyFill="1" applyBorder="1" applyAlignment="1" applyProtection="1">
      <alignment horizontal="center" vertical="center" wrapText="1"/>
    </xf>
    <xf numFmtId="165" fontId="10" fillId="5" borderId="2" xfId="2" applyNumberFormat="1" applyFont="1" applyFill="1" applyBorder="1" applyAlignment="1" applyProtection="1">
      <alignment horizontal="center" wrapText="1"/>
    </xf>
    <xf numFmtId="165" fontId="9" fillId="5" borderId="2" xfId="2" applyNumberFormat="1" applyFont="1" applyFill="1" applyBorder="1" applyAlignment="1" applyProtection="1">
      <alignment horizontal="right" wrapText="1"/>
    </xf>
    <xf numFmtId="165" fontId="11" fillId="5" borderId="2" xfId="2" applyNumberFormat="1" applyFont="1" applyFill="1" applyBorder="1" applyAlignment="1" applyProtection="1">
      <alignment horizontal="right" wrapText="1"/>
    </xf>
    <xf numFmtId="165" fontId="10" fillId="5" borderId="0" xfId="2" applyNumberFormat="1" applyFont="1" applyFill="1" applyBorder="1" applyAlignment="1" applyProtection="1">
      <alignment horizontal="center" wrapText="1"/>
    </xf>
    <xf numFmtId="165" fontId="9" fillId="8" borderId="2" xfId="2" applyNumberFormat="1" applyFont="1" applyFill="1" applyBorder="1" applyAlignment="1" applyProtection="1">
      <alignment horizontal="right" wrapText="1"/>
    </xf>
    <xf numFmtId="165" fontId="18" fillId="5" borderId="2" xfId="2" applyNumberFormat="1" applyFont="1" applyFill="1" applyBorder="1" applyAlignment="1" applyProtection="1">
      <alignment horizontal="right" wrapText="1"/>
    </xf>
    <xf numFmtId="165" fontId="25" fillId="5" borderId="2" xfId="2" applyNumberFormat="1" applyFont="1" applyFill="1" applyBorder="1" applyAlignment="1" applyProtection="1">
      <alignment horizontal="right" wrapText="1"/>
    </xf>
    <xf numFmtId="165" fontId="11" fillId="12" borderId="2" xfId="2" applyNumberFormat="1" applyFont="1" applyFill="1" applyBorder="1" applyAlignment="1" applyProtection="1">
      <alignment horizontal="right" wrapText="1"/>
    </xf>
    <xf numFmtId="165" fontId="18" fillId="12" borderId="2" xfId="2" applyNumberFormat="1" applyFont="1" applyFill="1" applyBorder="1" applyAlignment="1" applyProtection="1">
      <alignment horizontal="right" wrapText="1"/>
    </xf>
    <xf numFmtId="165" fontId="11" fillId="8" borderId="2" xfId="2" applyNumberFormat="1" applyFont="1" applyFill="1" applyBorder="1" applyAlignment="1" applyProtection="1">
      <alignment horizontal="right" wrapText="1"/>
    </xf>
    <xf numFmtId="0" fontId="0" fillId="0" borderId="0" xfId="0" applyAlignment="1">
      <alignment horizontal="left" wrapText="1"/>
    </xf>
    <xf numFmtId="0" fontId="4" fillId="0" borderId="0" xfId="0" applyFont="1" applyAlignment="1">
      <alignment horizontal="left"/>
    </xf>
    <xf numFmtId="165" fontId="8" fillId="4" borderId="0" xfId="1" applyNumberFormat="1" applyFont="1" applyFill="1"/>
    <xf numFmtId="0" fontId="4" fillId="0" borderId="0" xfId="0" applyFont="1" applyAlignment="1">
      <alignment horizontal="left"/>
    </xf>
    <xf numFmtId="0" fontId="0" fillId="0" borderId="0" xfId="0" applyAlignment="1">
      <alignment horizontal="left" wrapText="1"/>
    </xf>
    <xf numFmtId="0" fontId="12" fillId="0" borderId="0" xfId="0" applyFont="1" applyAlignment="1">
      <alignment wrapText="1"/>
    </xf>
    <xf numFmtId="165" fontId="7" fillId="8" borderId="0" xfId="1" applyNumberFormat="1" applyFont="1" applyFill="1" applyAlignment="1">
      <alignment horizontal="left"/>
    </xf>
    <xf numFmtId="165" fontId="14" fillId="13" borderId="0" xfId="0" applyNumberFormat="1" applyFont="1" applyFill="1"/>
    <xf numFmtId="165" fontId="12" fillId="13" borderId="0" xfId="0" applyNumberFormat="1" applyFont="1" applyFill="1"/>
    <xf numFmtId="0" fontId="12" fillId="0" borderId="9" xfId="0" applyFont="1" applyBorder="1"/>
    <xf numFmtId="0" fontId="12" fillId="0" borderId="7" xfId="0" applyFont="1" applyBorder="1"/>
    <xf numFmtId="0" fontId="12" fillId="0" borderId="8" xfId="0" applyFont="1" applyBorder="1"/>
    <xf numFmtId="0" fontId="12" fillId="0" borderId="11" xfId="0" applyFont="1" applyBorder="1"/>
    <xf numFmtId="165" fontId="12" fillId="0" borderId="0" xfId="1" applyNumberFormat="1" applyFont="1" applyBorder="1" applyAlignment="1">
      <alignment horizontal="right"/>
    </xf>
    <xf numFmtId="165" fontId="12" fillId="5" borderId="0" xfId="1" applyNumberFormat="1" applyFont="1" applyFill="1" applyBorder="1" applyAlignment="1">
      <alignment horizontal="right"/>
    </xf>
    <xf numFmtId="165" fontId="12" fillId="7" borderId="0" xfId="1" applyNumberFormat="1" applyFont="1" applyFill="1" applyBorder="1" applyAlignment="1">
      <alignment horizontal="right"/>
    </xf>
    <xf numFmtId="0" fontId="12" fillId="0" borderId="12" xfId="0" applyFont="1" applyBorder="1"/>
    <xf numFmtId="0" fontId="13" fillId="0" borderId="11" xfId="0" applyFont="1" applyBorder="1"/>
    <xf numFmtId="165" fontId="13" fillId="0" borderId="0" xfId="1" applyNumberFormat="1" applyFont="1" applyBorder="1"/>
    <xf numFmtId="165" fontId="13" fillId="5" borderId="0" xfId="1" applyNumberFormat="1" applyFont="1" applyFill="1" applyBorder="1"/>
    <xf numFmtId="165" fontId="13" fillId="7" borderId="0" xfId="1" applyNumberFormat="1" applyFont="1" applyFill="1" applyBorder="1"/>
    <xf numFmtId="0" fontId="13" fillId="0" borderId="12" xfId="0" applyFont="1" applyBorder="1"/>
    <xf numFmtId="0" fontId="12" fillId="0" borderId="11" xfId="0" applyFont="1" applyBorder="1" applyAlignment="1">
      <alignment horizontal="right" wrapText="1"/>
    </xf>
    <xf numFmtId="165" fontId="14" fillId="0" borderId="0" xfId="0" applyNumberFormat="1" applyFont="1" applyBorder="1"/>
    <xf numFmtId="165" fontId="14" fillId="5" borderId="0" xfId="0" applyNumberFormat="1" applyFont="1" applyFill="1" applyBorder="1"/>
    <xf numFmtId="165" fontId="14" fillId="7" borderId="0" xfId="0" applyNumberFormat="1" applyFont="1" applyFill="1" applyBorder="1"/>
    <xf numFmtId="9" fontId="13" fillId="0" borderId="12" xfId="4" applyFont="1" applyBorder="1"/>
    <xf numFmtId="0" fontId="12" fillId="0" borderId="0" xfId="0" applyFont="1" applyBorder="1"/>
    <xf numFmtId="0" fontId="12" fillId="5" borderId="0" xfId="0" applyFont="1" applyFill="1" applyBorder="1"/>
    <xf numFmtId="0" fontId="12" fillId="7" borderId="0" xfId="0" applyFont="1" applyFill="1" applyBorder="1"/>
    <xf numFmtId="0" fontId="12" fillId="0" borderId="13" xfId="0" applyFont="1" applyBorder="1"/>
    <xf numFmtId="165" fontId="37" fillId="0" borderId="14" xfId="0" applyNumberFormat="1" applyFont="1" applyBorder="1"/>
    <xf numFmtId="165" fontId="14" fillId="5" borderId="14" xfId="0" applyNumberFormat="1" applyFont="1" applyFill="1" applyBorder="1"/>
    <xf numFmtId="165" fontId="12" fillId="7" borderId="14" xfId="0" applyNumberFormat="1" applyFont="1" applyFill="1" applyBorder="1"/>
    <xf numFmtId="0" fontId="12" fillId="0" borderId="10" xfId="0" applyFont="1" applyBorder="1"/>
    <xf numFmtId="0" fontId="13" fillId="0" borderId="7" xfId="0" applyFont="1" applyBorder="1"/>
    <xf numFmtId="165" fontId="13" fillId="0" borderId="8" xfId="1" applyNumberFormat="1" applyFont="1" applyBorder="1"/>
    <xf numFmtId="165" fontId="13" fillId="5" borderId="8" xfId="1" applyNumberFormat="1" applyFont="1" applyFill="1" applyBorder="1"/>
    <xf numFmtId="165" fontId="13" fillId="7" borderId="9" xfId="1" applyNumberFormat="1" applyFont="1" applyFill="1" applyBorder="1"/>
    <xf numFmtId="0" fontId="13" fillId="0" borderId="13" xfId="0" applyFont="1" applyBorder="1"/>
    <xf numFmtId="165" fontId="13" fillId="0" borderId="14" xfId="0" applyNumberFormat="1" applyFont="1" applyBorder="1"/>
    <xf numFmtId="165" fontId="13" fillId="5" borderId="14" xfId="0" applyNumberFormat="1" applyFont="1" applyFill="1" applyBorder="1"/>
    <xf numFmtId="165" fontId="13" fillId="7" borderId="10" xfId="0" applyNumberFormat="1" applyFont="1" applyFill="1" applyBorder="1"/>
    <xf numFmtId="0" fontId="12" fillId="0" borderId="19" xfId="0" applyFont="1" applyBorder="1"/>
    <xf numFmtId="165" fontId="12" fillId="0" borderId="20" xfId="1" applyNumberFormat="1" applyFont="1" applyBorder="1" applyAlignment="1">
      <alignment horizontal="right"/>
    </xf>
    <xf numFmtId="165" fontId="12" fillId="5" borderId="20" xfId="1" applyNumberFormat="1" applyFont="1" applyFill="1" applyBorder="1" applyAlignment="1">
      <alignment horizontal="right"/>
    </xf>
    <xf numFmtId="165" fontId="12" fillId="7" borderId="20" xfId="1" applyNumberFormat="1" applyFont="1" applyFill="1" applyBorder="1" applyAlignment="1">
      <alignment horizontal="right"/>
    </xf>
    <xf numFmtId="0" fontId="12" fillId="0" borderId="21" xfId="0" applyFont="1" applyBorder="1"/>
    <xf numFmtId="0" fontId="13" fillId="0" borderId="19" xfId="0" applyFont="1" applyBorder="1"/>
    <xf numFmtId="165" fontId="13" fillId="0" borderId="20" xfId="1" applyNumberFormat="1" applyFont="1" applyBorder="1"/>
    <xf numFmtId="165" fontId="13" fillId="5" borderId="20" xfId="1" applyNumberFormat="1" applyFont="1" applyFill="1" applyBorder="1"/>
    <xf numFmtId="165" fontId="13" fillId="7" borderId="20" xfId="1" applyNumberFormat="1" applyFont="1" applyFill="1" applyBorder="1"/>
    <xf numFmtId="0" fontId="13" fillId="0" borderId="21" xfId="0" applyFont="1" applyBorder="1"/>
    <xf numFmtId="0" fontId="12" fillId="0" borderId="19" xfId="0" applyFont="1" applyBorder="1" applyAlignment="1">
      <alignment horizontal="right" wrapText="1"/>
    </xf>
    <xf numFmtId="165" fontId="14" fillId="0" borderId="20" xfId="0" applyNumberFormat="1" applyFont="1" applyBorder="1"/>
    <xf numFmtId="165" fontId="14" fillId="5" borderId="20" xfId="0" applyNumberFormat="1" applyFont="1" applyFill="1" applyBorder="1"/>
    <xf numFmtId="165" fontId="14" fillId="7" borderId="20" xfId="0" applyNumberFormat="1" applyFont="1" applyFill="1" applyBorder="1"/>
    <xf numFmtId="9" fontId="13" fillId="0" borderId="21" xfId="4" applyFont="1" applyBorder="1"/>
    <xf numFmtId="0" fontId="12" fillId="0" borderId="20" xfId="0" applyFont="1" applyBorder="1"/>
    <xf numFmtId="0" fontId="12" fillId="5" borderId="20" xfId="0" applyFont="1" applyFill="1" applyBorder="1"/>
    <xf numFmtId="0" fontId="12" fillId="7" borderId="20" xfId="0" applyFont="1" applyFill="1" applyBorder="1"/>
    <xf numFmtId="165" fontId="37" fillId="0" borderId="0" xfId="0" applyNumberFormat="1" applyFont="1" applyBorder="1"/>
    <xf numFmtId="165" fontId="12" fillId="7" borderId="0" xfId="0" applyNumberFormat="1" applyFont="1" applyFill="1" applyBorder="1"/>
    <xf numFmtId="165" fontId="13" fillId="0" borderId="0" xfId="0" applyNumberFormat="1" applyFont="1" applyBorder="1"/>
    <xf numFmtId="165" fontId="13" fillId="5" borderId="0" xfId="0" applyNumberFormat="1" applyFont="1" applyFill="1" applyBorder="1"/>
    <xf numFmtId="165" fontId="13" fillId="7" borderId="0" xfId="0" applyNumberFormat="1" applyFont="1" applyFill="1" applyBorder="1"/>
    <xf numFmtId="165" fontId="37" fillId="5" borderId="14" xfId="0" applyNumberFormat="1" applyFont="1" applyFill="1" applyBorder="1"/>
    <xf numFmtId="165" fontId="14" fillId="0" borderId="14" xfId="0" applyNumberFormat="1" applyFont="1" applyBorder="1"/>
    <xf numFmtId="0" fontId="13" fillId="0" borderId="0" xfId="0" applyFont="1" applyAlignment="1">
      <alignment wrapText="1"/>
    </xf>
    <xf numFmtId="164" fontId="22" fillId="0" borderId="27" xfId="1" applyFont="1" applyBorder="1"/>
    <xf numFmtId="164" fontId="22" fillId="0" borderId="28" xfId="1" applyFont="1" applyBorder="1"/>
    <xf numFmtId="0" fontId="22" fillId="0" borderId="29" xfId="0" applyFont="1" applyBorder="1" applyAlignment="1">
      <alignment wrapText="1"/>
    </xf>
    <xf numFmtId="0" fontId="22" fillId="0" borderId="22" xfId="0" applyFont="1" applyBorder="1" applyAlignment="1">
      <alignment wrapText="1"/>
    </xf>
    <xf numFmtId="0" fontId="22" fillId="0" borderId="23" xfId="0" applyFont="1" applyBorder="1" applyAlignment="1">
      <alignment wrapText="1"/>
    </xf>
    <xf numFmtId="0" fontId="14" fillId="0" borderId="24" xfId="0" applyFont="1" applyBorder="1" applyAlignment="1">
      <alignment wrapText="1"/>
    </xf>
    <xf numFmtId="164" fontId="22" fillId="0" borderId="25" xfId="1" applyFont="1" applyBorder="1"/>
    <xf numFmtId="164" fontId="22" fillId="0" borderId="16" xfId="0" applyNumberFormat="1" applyFont="1" applyBorder="1"/>
    <xf numFmtId="0" fontId="48" fillId="0" borderId="26" xfId="0" applyFont="1" applyBorder="1" applyAlignment="1">
      <alignment wrapText="1"/>
    </xf>
    <xf numFmtId="164" fontId="48" fillId="5" borderId="25" xfId="1" applyFont="1" applyFill="1" applyBorder="1"/>
    <xf numFmtId="43" fontId="48" fillId="5" borderId="16" xfId="0" applyNumberFormat="1" applyFont="1" applyFill="1" applyBorder="1"/>
    <xf numFmtId="164" fontId="49" fillId="6" borderId="27" xfId="1" applyFont="1" applyFill="1" applyBorder="1"/>
    <xf numFmtId="164" fontId="49" fillId="6" borderId="28" xfId="0" applyNumberFormat="1" applyFont="1" applyFill="1" applyBorder="1"/>
    <xf numFmtId="0" fontId="49" fillId="6" borderId="29" xfId="0" applyFont="1" applyFill="1" applyBorder="1" applyAlignment="1">
      <alignment wrapText="1"/>
    </xf>
    <xf numFmtId="0" fontId="22" fillId="0" borderId="26" xfId="0" applyFont="1" applyBorder="1" applyAlignment="1">
      <alignment wrapText="1"/>
    </xf>
    <xf numFmtId="164" fontId="22" fillId="5" borderId="25" xfId="1" applyFont="1" applyFill="1" applyBorder="1"/>
    <xf numFmtId="43" fontId="22" fillId="5" borderId="16" xfId="0" applyNumberFormat="1" applyFont="1" applyFill="1" applyBorder="1"/>
    <xf numFmtId="2" fontId="22" fillId="5" borderId="16" xfId="0" applyNumberFormat="1" applyFont="1" applyFill="1" applyBorder="1"/>
    <xf numFmtId="0" fontId="22" fillId="0" borderId="24" xfId="0" applyFont="1" applyBorder="1" applyAlignment="1">
      <alignment wrapText="1"/>
    </xf>
    <xf numFmtId="164" fontId="49" fillId="6" borderId="25" xfId="1" applyFont="1" applyFill="1" applyBorder="1"/>
    <xf numFmtId="164" fontId="49" fillId="6" borderId="16" xfId="0" applyNumberFormat="1" applyFont="1" applyFill="1" applyBorder="1"/>
    <xf numFmtId="0" fontId="49" fillId="6" borderId="26" xfId="0" applyFont="1" applyFill="1" applyBorder="1" applyAlignment="1">
      <alignment wrapText="1"/>
    </xf>
    <xf numFmtId="0" fontId="51" fillId="0" borderId="0" xfId="0" applyFont="1" applyAlignment="1">
      <alignment horizontal="center"/>
    </xf>
    <xf numFmtId="0" fontId="51" fillId="0" borderId="0" xfId="0" applyFont="1"/>
    <xf numFmtId="0" fontId="53" fillId="0" borderId="0" xfId="0" applyFont="1" applyAlignment="1">
      <alignment horizontal="center"/>
    </xf>
    <xf numFmtId="0" fontId="53" fillId="0" borderId="0" xfId="0" applyFont="1"/>
    <xf numFmtId="165" fontId="1" fillId="13" borderId="0" xfId="1" applyNumberFormat="1" applyFont="1" applyFill="1"/>
    <xf numFmtId="0" fontId="12" fillId="0" borderId="0" xfId="0" applyFont="1" applyAlignment="1">
      <alignment wrapText="1"/>
    </xf>
    <xf numFmtId="0" fontId="13" fillId="0" borderId="0" xfId="0" applyFont="1" applyBorder="1" applyAlignment="1">
      <alignment horizontal="center" wrapText="1"/>
    </xf>
    <xf numFmtId="0" fontId="13" fillId="0" borderId="14" xfId="0" applyFont="1" applyBorder="1" applyAlignment="1">
      <alignment horizontal="center" wrapText="1"/>
    </xf>
    <xf numFmtId="0" fontId="13" fillId="0" borderId="0" xfId="0" applyFont="1" applyBorder="1" applyAlignment="1">
      <alignment horizontal="right" wrapText="1"/>
    </xf>
    <xf numFmtId="0" fontId="13" fillId="0" borderId="14" xfId="0" applyFont="1" applyBorder="1" applyAlignment="1">
      <alignment horizontal="right" wrapText="1"/>
    </xf>
    <xf numFmtId="0" fontId="13" fillId="0" borderId="0" xfId="0" applyFont="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right" wrapText="1"/>
    </xf>
    <xf numFmtId="0" fontId="13" fillId="0" borderId="12" xfId="0" applyFont="1" applyBorder="1" applyAlignment="1">
      <alignment horizontal="right" wrapText="1"/>
    </xf>
    <xf numFmtId="0" fontId="13" fillId="0" borderId="10" xfId="0" applyFont="1" applyBorder="1" applyAlignment="1">
      <alignment horizontal="right" wrapText="1"/>
    </xf>
    <xf numFmtId="0" fontId="13" fillId="0" borderId="8" xfId="0" applyFont="1" applyBorder="1" applyAlignment="1">
      <alignment horizontal="right" wrapText="1"/>
    </xf>
    <xf numFmtId="0" fontId="44" fillId="5" borderId="11" xfId="0" applyFont="1" applyFill="1" applyBorder="1" applyAlignment="1">
      <alignment horizontal="center"/>
    </xf>
    <xf numFmtId="0" fontId="44" fillId="5" borderId="13" xfId="0" applyFont="1" applyFill="1" applyBorder="1" applyAlignment="1">
      <alignment horizontal="center"/>
    </xf>
    <xf numFmtId="0" fontId="43" fillId="5" borderId="11" xfId="0" applyFont="1" applyFill="1" applyBorder="1" applyAlignment="1">
      <alignment horizontal="center"/>
    </xf>
    <xf numFmtId="0" fontId="43" fillId="5" borderId="13" xfId="0" applyFont="1" applyFill="1" applyBorder="1" applyAlignment="1">
      <alignment horizontal="center"/>
    </xf>
    <xf numFmtId="0" fontId="45" fillId="5" borderId="0" xfId="0" applyFont="1" applyFill="1" applyAlignment="1">
      <alignment horizontal="center"/>
    </xf>
    <xf numFmtId="0" fontId="45" fillId="5" borderId="14" xfId="0" applyFont="1" applyFill="1" applyBorder="1" applyAlignment="1">
      <alignment horizontal="center"/>
    </xf>
    <xf numFmtId="0" fontId="47" fillId="5" borderId="11" xfId="0" applyFont="1" applyFill="1" applyBorder="1" applyAlignment="1">
      <alignment horizontal="center"/>
    </xf>
    <xf numFmtId="0" fontId="47" fillId="5" borderId="13" xfId="0" applyFont="1" applyFill="1" applyBorder="1" applyAlignment="1">
      <alignment horizontal="center"/>
    </xf>
    <xf numFmtId="0" fontId="46" fillId="5" borderId="11" xfId="0" applyFont="1" applyFill="1" applyBorder="1" applyAlignment="1">
      <alignment horizontal="center"/>
    </xf>
    <xf numFmtId="0" fontId="46" fillId="5" borderId="13" xfId="0" applyFont="1" applyFill="1" applyBorder="1" applyAlignment="1">
      <alignment horizontal="center"/>
    </xf>
    <xf numFmtId="0" fontId="4" fillId="0" borderId="0" xfId="0" applyFont="1" applyAlignment="1">
      <alignment horizontal="left"/>
    </xf>
    <xf numFmtId="0" fontId="0" fillId="0" borderId="0" xfId="0" applyAlignment="1">
      <alignment horizontal="left" wrapText="1"/>
    </xf>
    <xf numFmtId="0" fontId="3" fillId="0" borderId="0" xfId="0" applyFont="1" applyFill="1" applyAlignment="1">
      <alignment horizontal="left" vertical="center" indent="1"/>
    </xf>
    <xf numFmtId="0" fontId="3" fillId="0" borderId="0" xfId="0" applyFont="1" applyAlignment="1">
      <alignment horizontal="left" vertical="center" wrapText="1"/>
    </xf>
    <xf numFmtId="0" fontId="9" fillId="0" borderId="17"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center" vertical="center" wrapText="1"/>
    </xf>
    <xf numFmtId="0" fontId="50" fillId="0" borderId="30" xfId="0" applyFont="1" applyBorder="1"/>
    <xf numFmtId="0" fontId="51" fillId="0" borderId="30" xfId="0" applyFont="1" applyBorder="1" applyAlignment="1">
      <alignment horizontal="center"/>
    </xf>
    <xf numFmtId="0" fontId="53" fillId="0" borderId="30" xfId="0" applyFont="1" applyBorder="1" applyAlignment="1">
      <alignment horizontal="center"/>
    </xf>
    <xf numFmtId="0" fontId="53" fillId="0" borderId="30" xfId="0" applyFont="1" applyBorder="1"/>
    <xf numFmtId="0" fontId="52" fillId="8" borderId="30" xfId="0" applyFont="1" applyFill="1" applyBorder="1"/>
    <xf numFmtId="0" fontId="53" fillId="8" borderId="30" xfId="0" applyFont="1" applyFill="1" applyBorder="1" applyAlignment="1">
      <alignment horizontal="center"/>
    </xf>
    <xf numFmtId="0" fontId="53" fillId="0" borderId="30" xfId="0" applyFont="1" applyFill="1" applyBorder="1"/>
    <xf numFmtId="0" fontId="53" fillId="0" borderId="30" xfId="0" applyFont="1" applyFill="1" applyBorder="1" applyAlignment="1">
      <alignment horizontal="center"/>
    </xf>
    <xf numFmtId="0" fontId="53" fillId="0" borderId="31" xfId="0" applyFont="1" applyBorder="1" applyAlignment="1">
      <alignment horizontal="center"/>
    </xf>
    <xf numFmtId="0" fontId="53" fillId="0" borderId="32" xfId="0" applyFont="1" applyBorder="1" applyAlignment="1">
      <alignment horizontal="center"/>
    </xf>
  </cellXfs>
  <cellStyles count="5">
    <cellStyle name="Komats" xfId="1" builtinId="3"/>
    <cellStyle name="Komats 10" xfId="2"/>
    <cellStyle name="Parasts" xfId="0" builtinId="0"/>
    <cellStyle name="Parasts 7" xfId="3"/>
    <cellStyle name="Procenti"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727710</xdr:colOff>
      <xdr:row>20</xdr:row>
      <xdr:rowOff>0</xdr:rowOff>
    </xdr:from>
    <xdr:to>
      <xdr:col>0</xdr:col>
      <xdr:colOff>775335</xdr:colOff>
      <xdr:row>26</xdr:row>
      <xdr:rowOff>154299</xdr:rowOff>
    </xdr:to>
    <xdr:sp macro="" textlink="">
      <xdr:nvSpPr>
        <xdr:cNvPr id="4" name="Kreisā figūriekava 3">
          <a:extLst>
            <a:ext uri="{FF2B5EF4-FFF2-40B4-BE49-F238E27FC236}"/>
          </a:extLst>
        </xdr:cNvPr>
        <xdr:cNvSpPr/>
      </xdr:nvSpPr>
      <xdr:spPr>
        <a:xfrm>
          <a:off x="723900" y="3457575"/>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822960</xdr:colOff>
      <xdr:row>20</xdr:row>
      <xdr:rowOff>11430</xdr:rowOff>
    </xdr:from>
    <xdr:to>
      <xdr:col>0</xdr:col>
      <xdr:colOff>878523</xdr:colOff>
      <xdr:row>27</xdr:row>
      <xdr:rowOff>11430</xdr:rowOff>
    </xdr:to>
    <xdr:sp macro="" textlink="">
      <xdr:nvSpPr>
        <xdr:cNvPr id="2" name="Kreisā figūriekava 1">
          <a:extLst>
            <a:ext uri="{FF2B5EF4-FFF2-40B4-BE49-F238E27FC236}"/>
          </a:extLst>
        </xdr:cNvPr>
        <xdr:cNvSpPr/>
      </xdr:nvSpPr>
      <xdr:spPr>
        <a:xfrm>
          <a:off x="828675" y="3476625"/>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822960</xdr:colOff>
      <xdr:row>20</xdr:row>
      <xdr:rowOff>11430</xdr:rowOff>
    </xdr:from>
    <xdr:to>
      <xdr:col>0</xdr:col>
      <xdr:colOff>878523</xdr:colOff>
      <xdr:row>27</xdr:row>
      <xdr:rowOff>11430</xdr:rowOff>
    </xdr:to>
    <xdr:sp macro="" textlink="">
      <xdr:nvSpPr>
        <xdr:cNvPr id="2" name="Kreisā figūriekava 1">
          <a:extLst>
            <a:ext uri="{FF2B5EF4-FFF2-40B4-BE49-F238E27FC236}"/>
          </a:extLst>
        </xdr:cNvPr>
        <xdr:cNvSpPr/>
      </xdr:nvSpPr>
      <xdr:spPr>
        <a:xfrm>
          <a:off x="828675" y="3476625"/>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822960</xdr:colOff>
      <xdr:row>18</xdr:row>
      <xdr:rowOff>20955</xdr:rowOff>
    </xdr:from>
    <xdr:to>
      <xdr:col>0</xdr:col>
      <xdr:colOff>878523</xdr:colOff>
      <xdr:row>25</xdr:row>
      <xdr:rowOff>20955</xdr:rowOff>
    </xdr:to>
    <xdr:sp macro="" textlink="">
      <xdr:nvSpPr>
        <xdr:cNvPr id="2" name="Kreisā figūriekava 1">
          <a:extLst>
            <a:ext uri="{FF2B5EF4-FFF2-40B4-BE49-F238E27FC236}"/>
          </a:extLst>
        </xdr:cNvPr>
        <xdr:cNvSpPr/>
      </xdr:nvSpPr>
      <xdr:spPr>
        <a:xfrm>
          <a:off x="822960" y="3268980"/>
          <a:ext cx="55563"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822960</xdr:colOff>
      <xdr:row>18</xdr:row>
      <xdr:rowOff>20955</xdr:rowOff>
    </xdr:from>
    <xdr:to>
      <xdr:col>0</xdr:col>
      <xdr:colOff>878523</xdr:colOff>
      <xdr:row>25</xdr:row>
      <xdr:rowOff>20955</xdr:rowOff>
    </xdr:to>
    <xdr:sp macro="" textlink="">
      <xdr:nvSpPr>
        <xdr:cNvPr id="2" name="Kreisā figūriekava 1">
          <a:extLst>
            <a:ext uri="{FF2B5EF4-FFF2-40B4-BE49-F238E27FC236}"/>
          </a:extLst>
        </xdr:cNvPr>
        <xdr:cNvSpPr/>
      </xdr:nvSpPr>
      <xdr:spPr>
        <a:xfrm>
          <a:off x="851535" y="3501390"/>
          <a:ext cx="55563" cy="128016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822960</xdr:colOff>
      <xdr:row>18</xdr:row>
      <xdr:rowOff>20955</xdr:rowOff>
    </xdr:from>
    <xdr:to>
      <xdr:col>0</xdr:col>
      <xdr:colOff>878523</xdr:colOff>
      <xdr:row>25</xdr:row>
      <xdr:rowOff>20955</xdr:rowOff>
    </xdr:to>
    <xdr:sp macro="" textlink="">
      <xdr:nvSpPr>
        <xdr:cNvPr id="2" name="Kreisā figūriekava 1">
          <a:extLst>
            <a:ext uri="{FF2B5EF4-FFF2-40B4-BE49-F238E27FC236}"/>
          </a:extLst>
        </xdr:cNvPr>
        <xdr:cNvSpPr/>
      </xdr:nvSpPr>
      <xdr:spPr>
        <a:xfrm>
          <a:off x="822960" y="3320415"/>
          <a:ext cx="55563" cy="128016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twoCellAnchor>
    <xdr:from>
      <xdr:col>0</xdr:col>
      <xdr:colOff>851535</xdr:colOff>
      <xdr:row>18</xdr:row>
      <xdr:rowOff>11430</xdr:rowOff>
    </xdr:from>
    <xdr:to>
      <xdr:col>0</xdr:col>
      <xdr:colOff>907098</xdr:colOff>
      <xdr:row>25</xdr:row>
      <xdr:rowOff>11430</xdr:rowOff>
    </xdr:to>
    <xdr:sp macro="" textlink="">
      <xdr:nvSpPr>
        <xdr:cNvPr id="3" name="Kreisā figūriekava 2">
          <a:extLst>
            <a:ext uri="{FF2B5EF4-FFF2-40B4-BE49-F238E27FC236}"/>
          </a:extLst>
        </xdr:cNvPr>
        <xdr:cNvSpPr/>
      </xdr:nvSpPr>
      <xdr:spPr>
        <a:xfrm>
          <a:off x="851535" y="3135630"/>
          <a:ext cx="55563" cy="128016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822960</xdr:colOff>
      <xdr:row>20</xdr:row>
      <xdr:rowOff>11430</xdr:rowOff>
    </xdr:from>
    <xdr:to>
      <xdr:col>0</xdr:col>
      <xdr:colOff>878523</xdr:colOff>
      <xdr:row>27</xdr:row>
      <xdr:rowOff>11430</xdr:rowOff>
    </xdr:to>
    <xdr:sp macro="" textlink="">
      <xdr:nvSpPr>
        <xdr:cNvPr id="2" name="Kreisā figūriekava 1">
          <a:extLst>
            <a:ext uri="{FF2B5EF4-FFF2-40B4-BE49-F238E27FC236}"/>
          </a:extLst>
        </xdr:cNvPr>
        <xdr:cNvSpPr/>
      </xdr:nvSpPr>
      <xdr:spPr>
        <a:xfrm>
          <a:off x="828675" y="3648075"/>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nis/Desktop/SPORTA%20DA&#315;A/2020/5_Domes%20l&#275;mumu%20projekti/1_Par%20maksas%20pakalpojumu%20noteik&#353;anu%20&#256;SC/AKT_Nomas_maksa_SC_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kopojums_SC_noma"/>
      <sheetName val="Noslodze"/>
      <sheetName val="ASC_2018_LZ"/>
      <sheetName val="ASC_2018_DzZ"/>
      <sheetName val="ASC_2018_AerobZ"/>
      <sheetName val="Futbola laukums"/>
      <sheetName val="ASC_2018_Galda_teniss"/>
      <sheetName val="Baseins"/>
      <sheetName val="SPA"/>
      <sheetName val="Tame"/>
    </sheetNames>
    <sheetDataSet>
      <sheetData sheetId="0"/>
      <sheetData sheetId="1"/>
      <sheetData sheetId="2"/>
      <sheetData sheetId="3"/>
      <sheetData sheetId="4"/>
      <sheetData sheetId="5"/>
      <sheetData sheetId="6"/>
      <sheetData sheetId="7"/>
      <sheetData sheetId="8"/>
      <sheetData sheetId="9">
        <row r="51">
          <cell r="C51">
            <v>1900.14</v>
          </cell>
        </row>
        <row r="59">
          <cell r="C59">
            <v>0</v>
          </cell>
        </row>
        <row r="65">
          <cell r="C65">
            <v>348.5</v>
          </cell>
        </row>
        <row r="93">
          <cell r="C93">
            <v>0</v>
          </cell>
        </row>
        <row r="98">
          <cell r="B98">
            <v>221</v>
          </cell>
        </row>
        <row r="111">
          <cell r="B111">
            <v>412</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6"/>
  <sheetViews>
    <sheetView topLeftCell="A9" zoomScaleNormal="100" workbookViewId="0">
      <selection activeCell="G20" sqref="G20"/>
    </sheetView>
  </sheetViews>
  <sheetFormatPr defaultColWidth="9.109375" defaultRowHeight="13.8" x14ac:dyDescent="0.25"/>
  <cols>
    <col min="1" max="1" width="37.44140625" style="103" customWidth="1"/>
    <col min="2" max="5" width="22.88671875" style="103" customWidth="1"/>
    <col min="6" max="6" width="20.33203125" style="103" customWidth="1"/>
    <col min="7" max="7" width="15.33203125" style="66" customWidth="1"/>
    <col min="8" max="16384" width="9.109375" style="66"/>
  </cols>
  <sheetData>
    <row r="1" spans="1:7" ht="14.4" x14ac:dyDescent="0.3">
      <c r="D1" s="97"/>
      <c r="E1" s="97"/>
    </row>
    <row r="2" spans="1:7" ht="14.4" x14ac:dyDescent="0.3">
      <c r="D2" s="97"/>
      <c r="E2" s="97"/>
    </row>
    <row r="3" spans="1:7" ht="14.4" x14ac:dyDescent="0.3">
      <c r="D3" s="97"/>
      <c r="E3" s="97"/>
    </row>
    <row r="4" spans="1:7" ht="14.4" x14ac:dyDescent="0.3">
      <c r="D4" s="97"/>
      <c r="E4" s="97"/>
    </row>
    <row r="5" spans="1:7" ht="14.4" x14ac:dyDescent="0.3">
      <c r="D5" s="97"/>
      <c r="E5" s="97"/>
      <c r="F5" s="97"/>
    </row>
    <row r="6" spans="1:7" ht="14.4" x14ac:dyDescent="0.3">
      <c r="C6" s="107" t="s">
        <v>211</v>
      </c>
      <c r="D6" s="97"/>
      <c r="E6" s="97"/>
      <c r="F6" s="97"/>
    </row>
    <row r="8" spans="1:7" ht="33" customHeight="1" x14ac:dyDescent="0.25">
      <c r="A8" s="255" t="s">
        <v>212</v>
      </c>
      <c r="B8" s="255"/>
      <c r="C8" s="255"/>
      <c r="D8" s="255"/>
      <c r="E8" s="255"/>
      <c r="F8" s="255"/>
    </row>
    <row r="10" spans="1:7" ht="60" customHeight="1" x14ac:dyDescent="0.25">
      <c r="A10" s="116"/>
      <c r="B10" s="117" t="s">
        <v>232</v>
      </c>
      <c r="C10" s="117" t="s">
        <v>233</v>
      </c>
      <c r="D10" s="117" t="s">
        <v>234</v>
      </c>
      <c r="E10" s="117" t="s">
        <v>278</v>
      </c>
      <c r="F10" s="144" t="s">
        <v>283</v>
      </c>
      <c r="G10" s="118" t="s">
        <v>297</v>
      </c>
    </row>
    <row r="11" spans="1:7" s="67" customFormat="1" x14ac:dyDescent="0.25">
      <c r="A11" s="119" t="s">
        <v>194</v>
      </c>
      <c r="B11" s="120">
        <f>Noslodze!D6</f>
        <v>60284.154757257435</v>
      </c>
      <c r="C11" s="120">
        <f>Noslodze!D20</f>
        <v>11105.239556760673</v>
      </c>
      <c r="D11" s="120">
        <f>Noslodze!B34</f>
        <v>7628.7401124346679</v>
      </c>
      <c r="E11" s="120">
        <f>Noslodze!B47</f>
        <v>1674.5305827166885</v>
      </c>
      <c r="F11" s="120" t="e">
        <f>#REF!*12</f>
        <v>#REF!</v>
      </c>
      <c r="G11" s="121">
        <f>'Rozu iela'!B3*12</f>
        <v>66741.823467770402</v>
      </c>
    </row>
    <row r="12" spans="1:7" s="110" customFormat="1" x14ac:dyDescent="0.25">
      <c r="A12" s="122" t="s">
        <v>226</v>
      </c>
      <c r="B12" s="123">
        <f>Noslodze!E4</f>
        <v>28.925619834710744</v>
      </c>
      <c r="C12" s="123">
        <f>Noslodze!E18</f>
        <v>13.223140495867769</v>
      </c>
      <c r="D12" s="123">
        <f>Noslodze!E32</f>
        <v>13.223140495867769</v>
      </c>
      <c r="E12" s="123">
        <f>Noslodze!E45</f>
        <v>1.8181818181818183</v>
      </c>
      <c r="F12" s="123">
        <v>4.55</v>
      </c>
      <c r="G12" s="124">
        <f>10/1.21</f>
        <v>8.2644628099173563</v>
      </c>
    </row>
    <row r="13" spans="1:7" s="110" customFormat="1" x14ac:dyDescent="0.25">
      <c r="A13" s="122" t="s">
        <v>281</v>
      </c>
      <c r="B13" s="123">
        <f t="shared" ref="B13:G13" si="0">B12*1.21</f>
        <v>35</v>
      </c>
      <c r="C13" s="123">
        <f t="shared" si="0"/>
        <v>16</v>
      </c>
      <c r="D13" s="123">
        <f t="shared" si="0"/>
        <v>16</v>
      </c>
      <c r="E13" s="123">
        <f t="shared" si="0"/>
        <v>2.2000000000000002</v>
      </c>
      <c r="F13" s="123">
        <f t="shared" si="0"/>
        <v>5.5054999999999996</v>
      </c>
      <c r="G13" s="125">
        <f t="shared" si="0"/>
        <v>10</v>
      </c>
    </row>
    <row r="14" spans="1:7" s="94" customFormat="1" x14ac:dyDescent="0.25">
      <c r="A14" s="126" t="s">
        <v>227</v>
      </c>
      <c r="B14" s="127">
        <f>Noslodze!E3</f>
        <v>25.762459297973262</v>
      </c>
      <c r="C14" s="127">
        <f>ASC_2018_DzZ!M3</f>
        <v>10.282629219222846</v>
      </c>
      <c r="D14" s="127">
        <f>ASC_2018_AerobZ!M3</f>
        <v>5.2977361891907417</v>
      </c>
      <c r="E14" s="127">
        <f>Noslodze!E44</f>
        <v>0.66449626298281295</v>
      </c>
      <c r="F14" s="127" t="e">
        <f>#REF!</f>
        <v>#REF!</v>
      </c>
      <c r="G14" s="128">
        <f>'Rozu iela'!M3</f>
        <v>29.902250657603229</v>
      </c>
    </row>
    <row r="15" spans="1:7" s="95" customFormat="1" x14ac:dyDescent="0.25">
      <c r="A15" s="129" t="s">
        <v>228</v>
      </c>
      <c r="B15" s="130">
        <f t="shared" ref="B15:G15" si="1">B12-B14</f>
        <v>3.1631605367374824</v>
      </c>
      <c r="C15" s="130">
        <f t="shared" si="1"/>
        <v>2.9405112766449228</v>
      </c>
      <c r="D15" s="130">
        <f t="shared" si="1"/>
        <v>7.9254043066770272</v>
      </c>
      <c r="E15" s="130">
        <f t="shared" si="1"/>
        <v>1.1536855551990053</v>
      </c>
      <c r="F15" s="130" t="e">
        <f t="shared" si="1"/>
        <v>#REF!</v>
      </c>
      <c r="G15" s="130">
        <f t="shared" si="1"/>
        <v>-21.637787847685871</v>
      </c>
    </row>
    <row r="16" spans="1:7" ht="27.6" x14ac:dyDescent="0.25">
      <c r="A16" s="131" t="s">
        <v>224</v>
      </c>
      <c r="B16" s="132">
        <f>Noslodze!C12</f>
        <v>54600</v>
      </c>
      <c r="C16" s="132">
        <f>Noslodze!C27</f>
        <v>10368</v>
      </c>
      <c r="D16" s="132">
        <f>Noslodze!C40</f>
        <v>10368</v>
      </c>
      <c r="E16" s="132">
        <f>Noslodze!C53</f>
        <v>2225.4545454545455</v>
      </c>
      <c r="F16" s="132">
        <f>F12*15*30*10</f>
        <v>20475</v>
      </c>
      <c r="G16" s="141">
        <f>Noslodze!C66</f>
        <v>0</v>
      </c>
    </row>
    <row r="17" spans="1:7" ht="27.6" x14ac:dyDescent="0.25">
      <c r="A17" s="133" t="s">
        <v>225</v>
      </c>
      <c r="B17" s="134">
        <f>Noslodze!B12</f>
        <v>48629.218170854328</v>
      </c>
      <c r="C17" s="134">
        <f>Noslodze!B27</f>
        <v>8062.4039182082497</v>
      </c>
      <c r="D17" s="134">
        <f>Noslodze!B40</f>
        <v>4153.8489912206769</v>
      </c>
      <c r="E17" s="134">
        <f>Noslodze!B53</f>
        <v>813.34342589096309</v>
      </c>
      <c r="F17" s="134" t="e">
        <f>F14*15*30*10</f>
        <v>#REF!</v>
      </c>
      <c r="G17" s="142">
        <f>Noslodze!B66</f>
        <v>33866.09300477511</v>
      </c>
    </row>
    <row r="18" spans="1:7" x14ac:dyDescent="0.25">
      <c r="A18" s="116" t="s">
        <v>229</v>
      </c>
      <c r="B18" s="135">
        <f t="shared" ref="B18:G18" si="2">B16-B17</f>
        <v>5970.7818291456715</v>
      </c>
      <c r="C18" s="135">
        <f t="shared" si="2"/>
        <v>2305.5960817917503</v>
      </c>
      <c r="D18" s="135">
        <f t="shared" si="2"/>
        <v>6214.1510087793231</v>
      </c>
      <c r="E18" s="135">
        <f t="shared" si="2"/>
        <v>1412.1111195635824</v>
      </c>
      <c r="F18" s="135" t="e">
        <f t="shared" si="2"/>
        <v>#REF!</v>
      </c>
      <c r="G18" s="135">
        <f t="shared" si="2"/>
        <v>-33866.09300477511</v>
      </c>
    </row>
    <row r="19" spans="1:7" ht="78.75" customHeight="1" x14ac:dyDescent="0.25">
      <c r="A19" s="116" t="s">
        <v>230</v>
      </c>
      <c r="B19" s="136" t="s">
        <v>310</v>
      </c>
      <c r="C19" s="136" t="s">
        <v>237</v>
      </c>
      <c r="D19" s="136" t="s">
        <v>231</v>
      </c>
      <c r="E19" s="136" t="s">
        <v>280</v>
      </c>
      <c r="F19" s="136"/>
      <c r="G19" s="143"/>
    </row>
    <row r="20" spans="1:7" s="109" customFormat="1" ht="18" customHeight="1" x14ac:dyDescent="0.25">
      <c r="A20" s="137" t="s">
        <v>235</v>
      </c>
      <c r="B20" s="138">
        <f t="shared" ref="B20:G20" si="3">B21/1.21</f>
        <v>28.925619834710744</v>
      </c>
      <c r="C20" s="138">
        <f t="shared" si="3"/>
        <v>13.223140495867769</v>
      </c>
      <c r="D20" s="138">
        <f t="shared" si="3"/>
        <v>13.223140495867769</v>
      </c>
      <c r="E20" s="138">
        <f t="shared" si="3"/>
        <v>1.8181818181818183</v>
      </c>
      <c r="F20" s="138">
        <f t="shared" si="3"/>
        <v>4.5454545454545459</v>
      </c>
      <c r="G20" s="138">
        <f t="shared" si="3"/>
        <v>33.057851239669425</v>
      </c>
    </row>
    <row r="21" spans="1:7" s="109" customFormat="1" ht="29.25" customHeight="1" x14ac:dyDescent="0.25">
      <c r="A21" s="145" t="s">
        <v>282</v>
      </c>
      <c r="B21" s="146">
        <v>35</v>
      </c>
      <c r="C21" s="146">
        <v>16</v>
      </c>
      <c r="D21" s="146">
        <v>16</v>
      </c>
      <c r="E21" s="146">
        <v>2.2000000000000002</v>
      </c>
      <c r="F21" s="146">
        <v>5.5</v>
      </c>
      <c r="G21" s="146">
        <v>40</v>
      </c>
    </row>
    <row r="22" spans="1:7" ht="18" customHeight="1" x14ac:dyDescent="0.25">
      <c r="A22" s="139" t="s">
        <v>277</v>
      </c>
      <c r="B22" s="140">
        <f>B20-B12</f>
        <v>0</v>
      </c>
      <c r="C22" s="140">
        <f>C20-C12</f>
        <v>0</v>
      </c>
      <c r="D22" s="140">
        <f>D20-D12</f>
        <v>0</v>
      </c>
      <c r="E22" s="140">
        <f>E20-E12</f>
        <v>0</v>
      </c>
      <c r="F22" s="140">
        <f>F20-F12</f>
        <v>-4.5454545454539641E-3</v>
      </c>
      <c r="G22" s="143"/>
    </row>
    <row r="23" spans="1:7" x14ac:dyDescent="0.25">
      <c r="A23" s="105"/>
      <c r="B23" s="105"/>
      <c r="F23" s="108"/>
    </row>
    <row r="27" spans="1:7" customFormat="1" ht="14.4" x14ac:dyDescent="0.3">
      <c r="A27" s="105" t="s">
        <v>240</v>
      </c>
      <c r="B27" s="105"/>
      <c r="C27" s="105"/>
      <c r="D27" s="105"/>
      <c r="E27" s="105"/>
      <c r="F27" s="97"/>
    </row>
    <row r="28" spans="1:7" customFormat="1" ht="14.4" x14ac:dyDescent="0.3">
      <c r="A28" s="105" t="s">
        <v>241</v>
      </c>
      <c r="B28" s="105"/>
      <c r="C28" s="105"/>
      <c r="D28" s="105"/>
      <c r="E28" s="105"/>
      <c r="F28" s="97"/>
    </row>
    <row r="29" spans="1:7" customFormat="1" ht="14.4" x14ac:dyDescent="0.3">
      <c r="A29" s="105"/>
      <c r="B29" s="105"/>
      <c r="C29" s="105"/>
      <c r="D29" s="106"/>
      <c r="E29" s="106"/>
      <c r="F29" s="97"/>
    </row>
    <row r="30" spans="1:7" customFormat="1" ht="14.4" x14ac:dyDescent="0.3">
      <c r="A30" s="105" t="s">
        <v>306</v>
      </c>
      <c r="B30" s="105"/>
      <c r="C30" s="105"/>
      <c r="D30" s="105"/>
      <c r="E30" s="105"/>
      <c r="F30" s="97"/>
    </row>
    <row r="31" spans="1:7" customFormat="1" ht="14.4" x14ac:dyDescent="0.3">
      <c r="A31" s="105"/>
      <c r="B31" s="105"/>
      <c r="C31" s="105"/>
      <c r="D31" s="105"/>
      <c r="E31" s="105"/>
      <c r="F31" s="97"/>
    </row>
    <row r="32" spans="1:7" customFormat="1" ht="14.4" x14ac:dyDescent="0.3">
      <c r="A32" s="105" t="s">
        <v>307</v>
      </c>
      <c r="B32" s="105"/>
      <c r="C32" s="105"/>
      <c r="D32" s="105"/>
      <c r="E32" s="105"/>
      <c r="F32" s="97"/>
    </row>
    <row r="33" spans="1:5" x14ac:dyDescent="0.25">
      <c r="A33" s="105"/>
      <c r="B33" s="105"/>
      <c r="C33" s="105"/>
      <c r="D33" s="105"/>
      <c r="E33" s="105"/>
    </row>
    <row r="34" spans="1:5" x14ac:dyDescent="0.25">
      <c r="A34" s="105"/>
      <c r="B34" s="105"/>
      <c r="C34" s="105"/>
      <c r="D34" s="105"/>
      <c r="E34" s="105"/>
    </row>
    <row r="35" spans="1:5" x14ac:dyDescent="0.25">
      <c r="A35" s="105"/>
      <c r="B35" s="105"/>
      <c r="C35" s="105"/>
      <c r="D35" s="105"/>
      <c r="E35" s="105"/>
    </row>
    <row r="36" spans="1:5" x14ac:dyDescent="0.25">
      <c r="A36" s="105"/>
      <c r="B36" s="105"/>
      <c r="C36" s="105"/>
      <c r="D36" s="105"/>
      <c r="E36" s="105"/>
    </row>
  </sheetData>
  <mergeCells count="1">
    <mergeCell ref="A8:F8"/>
  </mergeCells>
  <pageMargins left="0.7" right="0.7" top="0.75" bottom="0.75" header="0.3" footer="0.3"/>
  <pageSetup paperSize="9" scale="83" orientation="landscape" r:id="rId1"/>
  <colBreaks count="1" manualBreakCount="1">
    <brk id="5" max="4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6"/>
  <sheetViews>
    <sheetView zoomScale="85" zoomScaleNormal="85" workbookViewId="0">
      <selection activeCell="U23" sqref="U23"/>
    </sheetView>
  </sheetViews>
  <sheetFormatPr defaultRowHeight="14.4" x14ac:dyDescent="0.3"/>
  <cols>
    <col min="1" max="1" width="14.88671875" customWidth="1"/>
    <col min="2" max="2" width="12.88671875" bestFit="1" customWidth="1"/>
    <col min="3" max="3" width="10.44140625" bestFit="1" customWidth="1"/>
    <col min="4" max="4" width="26.6640625" customWidth="1"/>
    <col min="6" max="6" width="13.44140625" customWidth="1"/>
    <col min="12" max="12" width="10" bestFit="1" customWidth="1"/>
  </cols>
  <sheetData>
    <row r="1" spans="1:15" x14ac:dyDescent="0.3">
      <c r="A1" s="1" t="s">
        <v>0</v>
      </c>
    </row>
    <row r="2" spans="1:15" x14ac:dyDescent="0.3">
      <c r="C2" s="2"/>
      <c r="D2" s="2"/>
      <c r="E2" s="2"/>
      <c r="F2" s="54"/>
      <c r="G2" s="54"/>
      <c r="H2" s="54"/>
      <c r="I2" s="55" t="s">
        <v>58</v>
      </c>
      <c r="K2" s="50" t="s">
        <v>58</v>
      </c>
      <c r="L2" s="35" t="s">
        <v>59</v>
      </c>
      <c r="M2" s="35" t="s">
        <v>294</v>
      </c>
    </row>
    <row r="3" spans="1:15" ht="15" thickBot="1" x14ac:dyDescent="0.35">
      <c r="B3" s="11">
        <f>((A12/B6+B10)*B8)/12</f>
        <v>139.54421522639072</v>
      </c>
      <c r="C3" s="4" t="s">
        <v>1</v>
      </c>
      <c r="D3" s="5" t="s">
        <v>2</v>
      </c>
      <c r="E3" s="278" t="s">
        <v>3</v>
      </c>
      <c r="F3" s="56"/>
      <c r="G3" s="54"/>
      <c r="H3" s="57" t="s">
        <v>4</v>
      </c>
      <c r="I3" s="58">
        <f>B3/B8</f>
        <v>4.0802402112979737</v>
      </c>
      <c r="K3" s="51">
        <f>I3*B8</f>
        <v>139.54421522639072</v>
      </c>
      <c r="L3" s="36">
        <f>K3/30</f>
        <v>4.6514738408796905</v>
      </c>
      <c r="M3" s="36">
        <f>K3/30/L7</f>
        <v>0.66449626298281295</v>
      </c>
    </row>
    <row r="4" spans="1:15" x14ac:dyDescent="0.3">
      <c r="B4" s="6" t="s">
        <v>5</v>
      </c>
      <c r="C4" s="4"/>
      <c r="D4" s="9">
        <v>12</v>
      </c>
      <c r="E4" s="278"/>
      <c r="F4" s="56"/>
      <c r="G4" s="54"/>
      <c r="H4" s="57" t="s">
        <v>6</v>
      </c>
      <c r="I4" s="59">
        <f>I3*1.21</f>
        <v>4.9370906556705476</v>
      </c>
      <c r="K4" s="51">
        <f>I4*B8</f>
        <v>168.84850042393273</v>
      </c>
      <c r="L4" s="36">
        <f>K4/30</f>
        <v>5.628283347464424</v>
      </c>
      <c r="M4" s="36">
        <f>K4/30/L7</f>
        <v>0.80404047820920344</v>
      </c>
      <c r="N4" s="37"/>
    </row>
    <row r="5" spans="1:15" x14ac:dyDescent="0.3">
      <c r="C5" s="2"/>
      <c r="D5" s="2"/>
      <c r="E5" s="2"/>
    </row>
    <row r="6" spans="1:15" ht="15" thickBot="1" x14ac:dyDescent="0.35">
      <c r="B6" s="47">
        <v>3865</v>
      </c>
      <c r="C6" t="s">
        <v>7</v>
      </c>
      <c r="D6" s="12" t="s">
        <v>8</v>
      </c>
    </row>
    <row r="7" spans="1:15" ht="18" customHeight="1" thickBot="1" x14ac:dyDescent="0.35">
      <c r="B7" s="8"/>
      <c r="D7" s="12"/>
      <c r="H7" s="30"/>
      <c r="I7" s="30"/>
      <c r="J7" s="30"/>
      <c r="K7" s="52" t="s">
        <v>192</v>
      </c>
      <c r="L7" s="60">
        <v>7</v>
      </c>
      <c r="O7" s="37"/>
    </row>
    <row r="8" spans="1:15" x14ac:dyDescent="0.3">
      <c r="A8" s="13">
        <f>B8/B6</f>
        <v>8.8486416558861587E-3</v>
      </c>
      <c r="B8" s="47">
        <f>34.2</f>
        <v>34.200000000000003</v>
      </c>
      <c r="C8" t="s">
        <v>9</v>
      </c>
      <c r="D8" s="14" t="s">
        <v>10</v>
      </c>
      <c r="E8" s="14"/>
      <c r="K8" s="62" t="s">
        <v>279</v>
      </c>
      <c r="L8" s="63">
        <f>K4/(2*21)</f>
        <v>4.0202023910460172</v>
      </c>
    </row>
    <row r="9" spans="1:15" ht="5.25" customHeight="1" x14ac:dyDescent="0.3">
      <c r="B9" s="8"/>
      <c r="D9" s="12"/>
    </row>
    <row r="10" spans="1:15" x14ac:dyDescent="0.3">
      <c r="B10" s="11">
        <f>A45</f>
        <v>15.167160931435966</v>
      </c>
      <c r="C10" t="s">
        <v>11</v>
      </c>
      <c r="D10" s="14" t="s">
        <v>12</v>
      </c>
    </row>
    <row r="11" spans="1:15" ht="6.75" customHeight="1" x14ac:dyDescent="0.3">
      <c r="C11" s="14"/>
    </row>
    <row r="12" spans="1:15" x14ac:dyDescent="0.3">
      <c r="A12" s="11">
        <f>B21+B26+B28+B30+B32+B33+B34</f>
        <v>130620.46399999999</v>
      </c>
      <c r="B12" t="s">
        <v>13</v>
      </c>
      <c r="C12" t="s">
        <v>14</v>
      </c>
    </row>
    <row r="14" spans="1:15" x14ac:dyDescent="0.3">
      <c r="D14" s="12" t="s">
        <v>15</v>
      </c>
    </row>
    <row r="15" spans="1:15" x14ac:dyDescent="0.3">
      <c r="D15" s="15"/>
    </row>
    <row r="16" spans="1:15" x14ac:dyDescent="0.3">
      <c r="D16" s="16" t="s">
        <v>273</v>
      </c>
    </row>
    <row r="17" spans="1:18" x14ac:dyDescent="0.3">
      <c r="D17" s="17"/>
    </row>
    <row r="18" spans="1:18" x14ac:dyDescent="0.3">
      <c r="D18" s="18" t="s">
        <v>16</v>
      </c>
    </row>
    <row r="21" spans="1:18" x14ac:dyDescent="0.3">
      <c r="B21" s="11">
        <f>C71</f>
        <v>108321.34999999999</v>
      </c>
      <c r="C21" t="s">
        <v>17</v>
      </c>
      <c r="D21" s="277" t="s">
        <v>243</v>
      </c>
      <c r="E21" s="277"/>
      <c r="F21" s="277"/>
      <c r="G21" s="277"/>
      <c r="H21" s="277"/>
      <c r="I21" s="277"/>
      <c r="J21" s="277"/>
      <c r="K21" s="277"/>
      <c r="L21" s="277"/>
      <c r="M21" s="277"/>
      <c r="N21" s="277"/>
      <c r="O21" s="277"/>
      <c r="P21" s="277"/>
      <c r="Q21" s="277"/>
      <c r="R21" s="277"/>
    </row>
    <row r="22" spans="1:18" x14ac:dyDescent="0.3">
      <c r="B22" s="11"/>
      <c r="D22" s="277" t="s">
        <v>244</v>
      </c>
      <c r="E22" s="277"/>
      <c r="F22" s="277"/>
      <c r="G22" s="277"/>
      <c r="H22" s="277"/>
      <c r="I22" s="277"/>
      <c r="J22" s="277"/>
      <c r="K22" s="277"/>
      <c r="L22" s="277"/>
      <c r="M22" s="277"/>
      <c r="N22" s="277"/>
      <c r="O22" s="277"/>
      <c r="P22" s="277"/>
      <c r="Q22" s="277"/>
      <c r="R22" s="277"/>
    </row>
    <row r="23" spans="1:18" x14ac:dyDescent="0.3">
      <c r="B23" s="11"/>
      <c r="D23" s="277" t="s">
        <v>245</v>
      </c>
      <c r="E23" s="277"/>
      <c r="F23" s="277"/>
      <c r="G23" s="277"/>
      <c r="H23" s="277"/>
      <c r="I23" s="277"/>
      <c r="J23" s="277"/>
      <c r="K23" s="277"/>
      <c r="L23" s="277"/>
      <c r="M23" s="277"/>
      <c r="N23" s="277"/>
      <c r="O23" s="277"/>
      <c r="P23" s="277"/>
      <c r="Q23" s="277"/>
      <c r="R23" s="277"/>
    </row>
    <row r="24" spans="1:18" x14ac:dyDescent="0.3">
      <c r="A24" s="35" t="s">
        <v>17</v>
      </c>
      <c r="B24" s="11"/>
      <c r="D24" s="277" t="s">
        <v>246</v>
      </c>
      <c r="E24" s="277"/>
      <c r="F24" s="277"/>
      <c r="G24" s="277"/>
      <c r="H24" s="277"/>
      <c r="I24" s="277"/>
      <c r="J24" s="277"/>
      <c r="K24" s="277"/>
      <c r="L24" s="277"/>
      <c r="M24" s="277"/>
      <c r="N24" s="277"/>
      <c r="O24" s="277"/>
      <c r="P24" s="277"/>
      <c r="Q24" s="277"/>
      <c r="R24" s="277"/>
    </row>
    <row r="25" spans="1:18" x14ac:dyDescent="0.3">
      <c r="B25" s="8"/>
      <c r="D25" s="277" t="s">
        <v>247</v>
      </c>
      <c r="E25" s="277"/>
      <c r="F25" s="277"/>
      <c r="G25" s="277"/>
      <c r="H25" s="277"/>
      <c r="I25" s="277"/>
      <c r="J25" s="277"/>
      <c r="K25" s="277"/>
      <c r="L25" s="277"/>
      <c r="M25" s="277"/>
      <c r="N25" s="277"/>
      <c r="O25" s="277"/>
      <c r="P25" s="277"/>
      <c r="Q25" s="277"/>
      <c r="R25" s="277"/>
    </row>
    <row r="26" spans="1:18" x14ac:dyDescent="0.3">
      <c r="B26" s="11">
        <f>C74</f>
        <v>21666.113999999998</v>
      </c>
      <c r="C26" t="s">
        <v>18</v>
      </c>
      <c r="D26" s="277" t="s">
        <v>248</v>
      </c>
      <c r="E26" s="277"/>
      <c r="F26" s="277"/>
      <c r="G26" s="277"/>
      <c r="H26" s="277"/>
      <c r="I26" s="277"/>
      <c r="J26" s="277"/>
      <c r="K26" s="277"/>
      <c r="L26" s="277"/>
      <c r="M26" s="277"/>
      <c r="N26" s="277"/>
      <c r="O26" s="277"/>
      <c r="P26" s="277"/>
      <c r="Q26" s="277"/>
      <c r="R26" s="277"/>
    </row>
    <row r="27" spans="1:18" x14ac:dyDescent="0.3">
      <c r="B27" s="8"/>
      <c r="D27" t="s">
        <v>249</v>
      </c>
    </row>
    <row r="28" spans="1:18" x14ac:dyDescent="0.3">
      <c r="B28" s="48">
        <f>Tame!B88+Tame!B101</f>
        <v>633</v>
      </c>
      <c r="C28" t="s">
        <v>19</v>
      </c>
      <c r="D28" s="277" t="s">
        <v>250</v>
      </c>
      <c r="E28" s="277"/>
      <c r="F28" s="277"/>
      <c r="G28" s="277"/>
      <c r="H28" s="277"/>
      <c r="I28" s="277"/>
      <c r="J28" s="277"/>
      <c r="K28" s="277"/>
      <c r="L28" s="277"/>
      <c r="M28" s="277"/>
      <c r="N28" s="277"/>
      <c r="O28" s="277"/>
      <c r="P28" s="277"/>
      <c r="Q28" s="277"/>
      <c r="R28" s="277"/>
    </row>
    <row r="29" spans="1:18" x14ac:dyDescent="0.3">
      <c r="B29" s="8"/>
      <c r="D29" t="s">
        <v>251</v>
      </c>
    </row>
    <row r="30" spans="1:18" x14ac:dyDescent="0.3">
      <c r="B30" s="48">
        <f>Tame!C83</f>
        <v>0</v>
      </c>
      <c r="C30" t="s">
        <v>20</v>
      </c>
      <c r="D30" t="s">
        <v>21</v>
      </c>
    </row>
    <row r="31" spans="1:18" x14ac:dyDescent="0.3">
      <c r="B31" s="8"/>
      <c r="D31" t="s">
        <v>22</v>
      </c>
    </row>
    <row r="32" spans="1:18" x14ac:dyDescent="0.3">
      <c r="B32" s="11">
        <f>Tame!C55</f>
        <v>0</v>
      </c>
      <c r="C32" t="s">
        <v>23</v>
      </c>
      <c r="D32" t="s">
        <v>24</v>
      </c>
    </row>
    <row r="33" spans="1:18" x14ac:dyDescent="0.3">
      <c r="B33" s="48">
        <v>0</v>
      </c>
      <c r="C33" t="s">
        <v>25</v>
      </c>
      <c r="D33" t="s">
        <v>26</v>
      </c>
    </row>
    <row r="34" spans="1:18" x14ac:dyDescent="0.3">
      <c r="B34" s="11"/>
      <c r="C34" t="s">
        <v>27</v>
      </c>
      <c r="D34" t="s">
        <v>28</v>
      </c>
    </row>
    <row r="35" spans="1:18" x14ac:dyDescent="0.3">
      <c r="B35" s="11">
        <v>0</v>
      </c>
      <c r="C35" t="s">
        <v>252</v>
      </c>
      <c r="D35" s="277" t="s">
        <v>253</v>
      </c>
      <c r="E35" s="277"/>
      <c r="F35" s="277"/>
      <c r="G35" s="277"/>
      <c r="H35" s="277"/>
      <c r="I35" s="277"/>
      <c r="J35" s="277"/>
      <c r="K35" s="277"/>
      <c r="L35" s="277"/>
      <c r="M35" s="277"/>
      <c r="N35" s="277"/>
      <c r="O35" s="277"/>
      <c r="P35" s="277"/>
      <c r="Q35" s="277"/>
      <c r="R35" s="277"/>
    </row>
    <row r="36" spans="1:18" x14ac:dyDescent="0.3">
      <c r="B36" s="11"/>
      <c r="D36" s="277" t="s">
        <v>254</v>
      </c>
      <c r="E36" s="277"/>
      <c r="F36" s="277"/>
      <c r="G36" s="277"/>
      <c r="H36" s="277"/>
      <c r="I36" s="277"/>
      <c r="J36" s="277"/>
      <c r="K36" s="277"/>
      <c r="L36" s="277"/>
      <c r="M36" s="277"/>
      <c r="N36" s="277"/>
      <c r="O36" s="277"/>
      <c r="P36" s="277"/>
      <c r="Q36" s="277"/>
      <c r="R36" s="277"/>
    </row>
    <row r="37" spans="1:18" x14ac:dyDescent="0.3">
      <c r="B37" s="11"/>
      <c r="D37" s="277" t="s">
        <v>255</v>
      </c>
      <c r="E37" s="277"/>
      <c r="F37" s="277"/>
      <c r="G37" s="277"/>
      <c r="H37" s="277"/>
      <c r="I37" s="277"/>
      <c r="J37" s="277"/>
      <c r="K37" s="277"/>
      <c r="L37" s="277"/>
      <c r="M37" s="277"/>
      <c r="N37" s="277"/>
      <c r="O37" s="277"/>
      <c r="P37" s="277"/>
      <c r="Q37" s="277"/>
      <c r="R37" s="277"/>
    </row>
    <row r="38" spans="1:18" x14ac:dyDescent="0.3">
      <c r="B38" s="11"/>
      <c r="D38" s="277" t="s">
        <v>256</v>
      </c>
      <c r="E38" s="277"/>
      <c r="F38" s="277"/>
      <c r="G38" s="277"/>
      <c r="H38" s="277"/>
      <c r="I38" s="277"/>
      <c r="J38" s="277"/>
      <c r="K38" s="277"/>
      <c r="L38" s="277"/>
      <c r="M38" s="277"/>
      <c r="N38" s="277"/>
      <c r="O38" s="277"/>
      <c r="P38" s="277"/>
      <c r="Q38" s="277"/>
      <c r="R38" s="277"/>
    </row>
    <row r="39" spans="1:18" x14ac:dyDescent="0.3">
      <c r="B39" s="11"/>
      <c r="D39" s="277" t="s">
        <v>257</v>
      </c>
      <c r="E39" s="277"/>
      <c r="F39" s="277"/>
      <c r="G39" s="277"/>
      <c r="H39" s="277"/>
      <c r="I39" s="277"/>
      <c r="J39" s="277"/>
      <c r="K39" s="277"/>
      <c r="L39" s="277"/>
      <c r="M39" s="277"/>
      <c r="N39" s="277"/>
      <c r="O39" s="277"/>
      <c r="P39" s="277"/>
      <c r="Q39" s="277"/>
      <c r="R39" s="277"/>
    </row>
    <row r="40" spans="1:18" x14ac:dyDescent="0.3">
      <c r="B40" s="11"/>
      <c r="D40" s="277" t="s">
        <v>258</v>
      </c>
      <c r="E40" s="277"/>
      <c r="F40" s="277"/>
      <c r="G40" s="277"/>
      <c r="H40" s="277"/>
      <c r="I40" s="277"/>
      <c r="J40" s="277"/>
      <c r="K40" s="277"/>
      <c r="L40" s="277"/>
      <c r="M40" s="277"/>
      <c r="N40" s="277"/>
      <c r="O40" s="277"/>
      <c r="P40" s="277"/>
      <c r="Q40" s="277"/>
      <c r="R40" s="277"/>
    </row>
    <row r="41" spans="1:18" x14ac:dyDescent="0.3">
      <c r="B41" s="11">
        <v>1</v>
      </c>
      <c r="C41" t="s">
        <v>259</v>
      </c>
      <c r="D41" s="277" t="s">
        <v>260</v>
      </c>
      <c r="E41" s="277"/>
      <c r="F41" s="277"/>
      <c r="G41" s="277"/>
      <c r="H41" s="277"/>
      <c r="I41" s="277"/>
      <c r="J41" s="277"/>
      <c r="K41" s="277"/>
      <c r="L41" s="277"/>
      <c r="M41" s="277"/>
      <c r="N41" s="277"/>
      <c r="O41" s="277"/>
      <c r="P41" s="277"/>
      <c r="Q41" s="277"/>
      <c r="R41" s="277"/>
    </row>
    <row r="42" spans="1:18" x14ac:dyDescent="0.3">
      <c r="B42" s="11"/>
      <c r="D42" s="102" t="s">
        <v>261</v>
      </c>
      <c r="E42" s="102"/>
      <c r="F42" s="102"/>
      <c r="G42" s="102"/>
      <c r="H42" s="102"/>
      <c r="I42" s="102"/>
      <c r="J42" s="102"/>
      <c r="K42" s="102"/>
      <c r="L42" s="102"/>
      <c r="M42" s="102"/>
      <c r="N42" s="102"/>
      <c r="O42" s="102"/>
      <c r="P42" s="102"/>
      <c r="Q42" s="102"/>
      <c r="R42" s="102"/>
    </row>
    <row r="45" spans="1:18" ht="30" customHeight="1" x14ac:dyDescent="0.3">
      <c r="A45" s="19">
        <f>B51*B53/B55</f>
        <v>15.167160931435966</v>
      </c>
      <c r="B45" t="s">
        <v>11</v>
      </c>
      <c r="C45" s="279" t="s">
        <v>29</v>
      </c>
      <c r="D45" s="279"/>
      <c r="E45" s="279"/>
      <c r="F45" s="279"/>
      <c r="G45" s="279"/>
      <c r="H45" s="279"/>
      <c r="I45" s="279"/>
      <c r="J45" s="279"/>
      <c r="K45" s="279"/>
      <c r="L45" s="279"/>
      <c r="M45" s="279"/>
      <c r="N45" s="279"/>
      <c r="O45" s="279"/>
      <c r="P45" s="279"/>
      <c r="Q45" s="279"/>
    </row>
    <row r="47" spans="1:18" x14ac:dyDescent="0.3">
      <c r="E47" s="20" t="s">
        <v>30</v>
      </c>
    </row>
    <row r="49" spans="1:17" x14ac:dyDescent="0.3">
      <c r="E49" s="20" t="s">
        <v>31</v>
      </c>
    </row>
    <row r="51" spans="1:17" ht="46.5" customHeight="1" x14ac:dyDescent="0.3">
      <c r="B51" s="21">
        <f>C86</f>
        <v>58621.077000000005</v>
      </c>
      <c r="C51" t="s">
        <v>32</v>
      </c>
      <c r="D51" s="279" t="s">
        <v>33</v>
      </c>
      <c r="E51" s="279"/>
      <c r="F51" s="279"/>
      <c r="G51" s="279"/>
      <c r="H51" s="279"/>
      <c r="I51" s="279"/>
      <c r="J51" s="279"/>
      <c r="K51" s="279"/>
      <c r="L51" s="279"/>
      <c r="M51" s="279"/>
      <c r="N51" s="279"/>
      <c r="O51" s="279"/>
      <c r="P51" s="279"/>
      <c r="Q51" s="279"/>
    </row>
    <row r="52" spans="1:17" s="2" customFormat="1" ht="7.5" customHeight="1" x14ac:dyDescent="0.3">
      <c r="D52" s="22"/>
      <c r="E52" s="22"/>
      <c r="F52" s="22"/>
      <c r="G52" s="22"/>
      <c r="H52" s="22"/>
      <c r="I52" s="22"/>
      <c r="J52" s="22"/>
      <c r="K52" s="22"/>
      <c r="L52" s="22"/>
      <c r="M52" s="22"/>
      <c r="N52" s="22"/>
      <c r="O52" s="22"/>
      <c r="P52" s="22"/>
      <c r="Q52" s="22"/>
    </row>
    <row r="53" spans="1:17" ht="32.25" customHeight="1" x14ac:dyDescent="0.3">
      <c r="B53" s="19">
        <v>1</v>
      </c>
      <c r="C53" t="s">
        <v>34</v>
      </c>
      <c r="D53" s="279" t="s">
        <v>35</v>
      </c>
      <c r="E53" s="279"/>
      <c r="F53" s="279"/>
      <c r="G53" s="279"/>
      <c r="H53" s="279"/>
      <c r="I53" s="279"/>
      <c r="J53" s="279"/>
      <c r="K53" s="279"/>
      <c r="L53" s="279"/>
      <c r="M53" s="279"/>
      <c r="N53" s="279"/>
      <c r="O53" s="279"/>
      <c r="P53" s="279"/>
      <c r="Q53" s="279"/>
    </row>
    <row r="54" spans="1:17" ht="6" customHeight="1" x14ac:dyDescent="0.3"/>
    <row r="55" spans="1:17" x14ac:dyDescent="0.3">
      <c r="B55" s="33">
        <f>B6</f>
        <v>3865</v>
      </c>
      <c r="C55" t="s">
        <v>36</v>
      </c>
      <c r="D55" s="20" t="s">
        <v>37</v>
      </c>
    </row>
    <row r="58" spans="1:17" x14ac:dyDescent="0.3">
      <c r="C58" s="23"/>
      <c r="D58" s="23"/>
      <c r="E58" s="23"/>
      <c r="F58" s="23"/>
    </row>
    <row r="59" spans="1:17" x14ac:dyDescent="0.3">
      <c r="B59" s="32" t="s">
        <v>46</v>
      </c>
      <c r="C59" s="23"/>
      <c r="D59" s="23"/>
      <c r="E59" s="23"/>
      <c r="F59" s="23"/>
    </row>
    <row r="60" spans="1:17" x14ac:dyDescent="0.3">
      <c r="A60" s="30"/>
      <c r="B60">
        <v>2222</v>
      </c>
      <c r="C60" s="8">
        <f>Tame!C43</f>
        <v>2603.5300000000002</v>
      </c>
      <c r="D60" s="24" t="s">
        <v>38</v>
      </c>
    </row>
    <row r="61" spans="1:17" x14ac:dyDescent="0.3">
      <c r="B61">
        <v>2223</v>
      </c>
      <c r="C61" s="8">
        <f>Tame!C44</f>
        <v>12937.68</v>
      </c>
      <c r="D61" s="25" t="s">
        <v>39</v>
      </c>
    </row>
    <row r="62" spans="1:17" x14ac:dyDescent="0.3">
      <c r="B62">
        <v>2229</v>
      </c>
      <c r="C62" s="26">
        <f>Tame!C45</f>
        <v>0</v>
      </c>
      <c r="D62" s="27" t="s">
        <v>40</v>
      </c>
    </row>
    <row r="63" spans="1:17" x14ac:dyDescent="0.3">
      <c r="B63">
        <v>2239</v>
      </c>
      <c r="C63" s="26">
        <f>Tame!C50</f>
        <v>11755.06</v>
      </c>
      <c r="D63" s="27" t="s">
        <v>44</v>
      </c>
    </row>
    <row r="64" spans="1:17" x14ac:dyDescent="0.3">
      <c r="B64">
        <v>2241</v>
      </c>
      <c r="C64" s="26">
        <f>Tame!C52</f>
        <v>13118.66</v>
      </c>
      <c r="D64" s="23" t="s">
        <v>190</v>
      </c>
    </row>
    <row r="65" spans="1:7" x14ac:dyDescent="0.3">
      <c r="B65">
        <v>2243</v>
      </c>
      <c r="C65" s="26">
        <f>Tame!C53</f>
        <v>7580.91</v>
      </c>
      <c r="D65" s="27" t="s">
        <v>45</v>
      </c>
      <c r="E65" s="27"/>
    </row>
    <row r="66" spans="1:7" x14ac:dyDescent="0.3">
      <c r="B66">
        <v>2244</v>
      </c>
      <c r="C66" s="26">
        <f>Tame!C54</f>
        <v>11736.56</v>
      </c>
      <c r="D66" s="27" t="s">
        <v>47</v>
      </c>
    </row>
    <row r="67" spans="1:7" x14ac:dyDescent="0.3">
      <c r="B67">
        <v>2249</v>
      </c>
      <c r="C67" s="26">
        <f>Tame!C56</f>
        <v>1566.74</v>
      </c>
      <c r="D67" s="27" t="s">
        <v>41</v>
      </c>
    </row>
    <row r="68" spans="1:7" x14ac:dyDescent="0.3">
      <c r="B68">
        <v>2321</v>
      </c>
      <c r="C68" s="26">
        <f>Tame!C66</f>
        <v>40852.29</v>
      </c>
      <c r="D68" s="27" t="s">
        <v>42</v>
      </c>
    </row>
    <row r="69" spans="1:7" x14ac:dyDescent="0.3">
      <c r="B69">
        <v>2341</v>
      </c>
      <c r="C69" s="26">
        <f>Tame!C69</f>
        <v>0</v>
      </c>
      <c r="D69" s="27" t="s">
        <v>164</v>
      </c>
    </row>
    <row r="70" spans="1:7" x14ac:dyDescent="0.3">
      <c r="B70">
        <v>2350</v>
      </c>
      <c r="C70" s="26">
        <f>Tame!C70</f>
        <v>6169.92</v>
      </c>
      <c r="D70" s="27" t="s">
        <v>43</v>
      </c>
    </row>
    <row r="71" spans="1:7" x14ac:dyDescent="0.3">
      <c r="A71" s="30" t="s">
        <v>48</v>
      </c>
      <c r="B71" s="30"/>
      <c r="C71" s="31">
        <f>SUM(C60:C70)</f>
        <v>108321.34999999999</v>
      </c>
      <c r="D71" s="276"/>
      <c r="E71" s="276"/>
      <c r="F71" s="276"/>
      <c r="G71" s="276"/>
    </row>
    <row r="72" spans="1:7" x14ac:dyDescent="0.3">
      <c r="C72" s="28"/>
      <c r="D72" s="276"/>
      <c r="E72" s="276"/>
      <c r="F72" s="276"/>
      <c r="G72" s="276"/>
    </row>
    <row r="73" spans="1:7" x14ac:dyDescent="0.3">
      <c r="C73" s="64">
        <f>(485*3)*1.2409*12</f>
        <v>21666.113999999998</v>
      </c>
      <c r="D73" s="27" t="s">
        <v>51</v>
      </c>
      <c r="E73" s="49"/>
      <c r="F73" s="27"/>
      <c r="G73" s="27"/>
    </row>
    <row r="74" spans="1:7" x14ac:dyDescent="0.3">
      <c r="A74" s="30" t="s">
        <v>274</v>
      </c>
      <c r="B74" s="30"/>
      <c r="C74" s="31">
        <f>SUM(C73:C73)</f>
        <v>21666.113999999998</v>
      </c>
      <c r="D74" s="27"/>
      <c r="E74" s="27"/>
      <c r="F74" s="27"/>
      <c r="G74" s="27"/>
    </row>
    <row r="75" spans="1:7" x14ac:dyDescent="0.3">
      <c r="C75" s="28"/>
      <c r="D75" s="27"/>
      <c r="E75" s="27"/>
      <c r="F75" s="27"/>
      <c r="G75" s="27"/>
    </row>
    <row r="76" spans="1:7" x14ac:dyDescent="0.3">
      <c r="C76" s="46">
        <f>1482*1.2409*9</f>
        <v>16551.124199999998</v>
      </c>
      <c r="D76" s="65" t="s">
        <v>49</v>
      </c>
      <c r="F76" s="46"/>
    </row>
    <row r="77" spans="1:7" x14ac:dyDescent="0.3">
      <c r="C77" s="45">
        <f>996*3*1.2409*9</f>
        <v>33370.282800000001</v>
      </c>
      <c r="D77" s="65" t="s">
        <v>50</v>
      </c>
      <c r="E77" s="27"/>
      <c r="F77" s="27"/>
      <c r="G77" s="27"/>
    </row>
    <row r="78" spans="1:7" x14ac:dyDescent="0.3">
      <c r="B78">
        <v>2211</v>
      </c>
      <c r="C78">
        <f>Tame!C41</f>
        <v>1989.39</v>
      </c>
      <c r="D78" t="s">
        <v>292</v>
      </c>
    </row>
    <row r="79" spans="1:7" x14ac:dyDescent="0.3">
      <c r="B79">
        <v>2234</v>
      </c>
      <c r="C79">
        <f>Tame!C48</f>
        <v>323.55</v>
      </c>
      <c r="D79" s="27" t="s">
        <v>54</v>
      </c>
    </row>
    <row r="80" spans="1:7" x14ac:dyDescent="0.3">
      <c r="B80">
        <v>2236</v>
      </c>
      <c r="C80">
        <f>Tame!C49</f>
        <v>0</v>
      </c>
      <c r="D80" s="27" t="s">
        <v>53</v>
      </c>
    </row>
    <row r="81" spans="1:4" x14ac:dyDescent="0.3">
      <c r="B81">
        <v>2264</v>
      </c>
      <c r="C81">
        <f>Tame!C58</f>
        <v>583.01</v>
      </c>
      <c r="D81" s="27" t="s">
        <v>55</v>
      </c>
    </row>
    <row r="82" spans="1:4" x14ac:dyDescent="0.3">
      <c r="B82">
        <v>2311</v>
      </c>
      <c r="C82">
        <f>Tame!C63</f>
        <v>514.11</v>
      </c>
      <c r="D82" s="27" t="s">
        <v>56</v>
      </c>
    </row>
    <row r="83" spans="1:4" x14ac:dyDescent="0.3">
      <c r="B83">
        <v>2312</v>
      </c>
      <c r="C83">
        <f>Tame!C64</f>
        <v>3891.2</v>
      </c>
      <c r="D83" s="27" t="s">
        <v>57</v>
      </c>
    </row>
    <row r="84" spans="1:4" x14ac:dyDescent="0.3">
      <c r="B84">
        <v>2322</v>
      </c>
      <c r="D84" s="27" t="s">
        <v>160</v>
      </c>
    </row>
    <row r="85" spans="1:4" x14ac:dyDescent="0.3">
      <c r="B85">
        <v>2390</v>
      </c>
      <c r="C85">
        <f>Tame!C71</f>
        <v>1398.41</v>
      </c>
    </row>
    <row r="86" spans="1:4" x14ac:dyDescent="0.3">
      <c r="A86" s="30" t="s">
        <v>275</v>
      </c>
      <c r="B86" s="30"/>
      <c r="C86" s="31">
        <f>SUM(C76:C85)</f>
        <v>58621.077000000005</v>
      </c>
    </row>
  </sheetData>
  <mergeCells count="20">
    <mergeCell ref="E3:E4"/>
    <mergeCell ref="C45:Q45"/>
    <mergeCell ref="D51:Q51"/>
    <mergeCell ref="D53:Q53"/>
    <mergeCell ref="D71:G71"/>
    <mergeCell ref="D72:G72"/>
    <mergeCell ref="D21:R21"/>
    <mergeCell ref="D22:R22"/>
    <mergeCell ref="D23:R23"/>
    <mergeCell ref="D24:R24"/>
    <mergeCell ref="D38:R38"/>
    <mergeCell ref="D39:R39"/>
    <mergeCell ref="D40:R40"/>
    <mergeCell ref="D41:R41"/>
    <mergeCell ref="D25:R25"/>
    <mergeCell ref="D26:R26"/>
    <mergeCell ref="D28:R28"/>
    <mergeCell ref="D35:R35"/>
    <mergeCell ref="D36:R36"/>
    <mergeCell ref="D37:R37"/>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tabSelected="1" topLeftCell="A10" zoomScale="110" zoomScaleNormal="110" workbookViewId="0">
      <selection activeCell="K14" sqref="K14"/>
    </sheetView>
  </sheetViews>
  <sheetFormatPr defaultRowHeight="14.4" x14ac:dyDescent="0.3"/>
  <cols>
    <col min="1" max="1" width="40.33203125" customWidth="1"/>
    <col min="2" max="2" width="9.5546875" bestFit="1" customWidth="1"/>
    <col min="3" max="3" width="15.33203125" style="43" bestFit="1" customWidth="1"/>
  </cols>
  <sheetData>
    <row r="1" spans="1:3" x14ac:dyDescent="0.3">
      <c r="C1" s="254"/>
    </row>
    <row r="2" spans="1:3" ht="20.399999999999999" customHeight="1" x14ac:dyDescent="0.3">
      <c r="A2" s="280" t="s">
        <v>60</v>
      </c>
      <c r="B2" s="280" t="s">
        <v>61</v>
      </c>
      <c r="C2" s="148" t="s">
        <v>311</v>
      </c>
    </row>
    <row r="3" spans="1:3" x14ac:dyDescent="0.3">
      <c r="A3" s="281"/>
      <c r="B3" s="281"/>
      <c r="C3" s="149" t="s">
        <v>62</v>
      </c>
    </row>
    <row r="4" spans="1:3" x14ac:dyDescent="0.3">
      <c r="A4" s="38" t="s">
        <v>63</v>
      </c>
      <c r="B4" s="38" t="s">
        <v>64</v>
      </c>
      <c r="C4" s="149" t="s">
        <v>65</v>
      </c>
    </row>
    <row r="5" spans="1:3" x14ac:dyDescent="0.3">
      <c r="A5" s="39" t="s">
        <v>66</v>
      </c>
      <c r="B5" s="39" t="s">
        <v>67</v>
      </c>
      <c r="C5" s="150">
        <f>C6</f>
        <v>75042.33</v>
      </c>
    </row>
    <row r="6" spans="1:3" x14ac:dyDescent="0.3">
      <c r="A6" s="40" t="s">
        <v>68</v>
      </c>
      <c r="B6" s="40" t="s">
        <v>69</v>
      </c>
      <c r="C6" s="150">
        <f>C7</f>
        <v>75042.33</v>
      </c>
    </row>
    <row r="7" spans="1:3" ht="21.6" x14ac:dyDescent="0.3">
      <c r="A7" s="40" t="s">
        <v>70</v>
      </c>
      <c r="B7" s="40" t="s">
        <v>71</v>
      </c>
      <c r="C7" s="150">
        <f>C8+C11</f>
        <v>75042.33</v>
      </c>
    </row>
    <row r="8" spans="1:3" x14ac:dyDescent="0.3">
      <c r="A8" s="41" t="s">
        <v>72</v>
      </c>
      <c r="B8" s="41" t="s">
        <v>73</v>
      </c>
      <c r="C8" s="151">
        <v>19723.96</v>
      </c>
    </row>
    <row r="9" spans="1:3" x14ac:dyDescent="0.3">
      <c r="A9" s="41" t="s">
        <v>74</v>
      </c>
      <c r="B9" s="41" t="s">
        <v>75</v>
      </c>
      <c r="C9" s="151">
        <v>19723.96</v>
      </c>
    </row>
    <row r="10" spans="1:3" x14ac:dyDescent="0.3">
      <c r="A10" s="41" t="s">
        <v>76</v>
      </c>
      <c r="B10" s="41" t="s">
        <v>77</v>
      </c>
      <c r="C10" s="151"/>
    </row>
    <row r="11" spans="1:3" ht="21.6" x14ac:dyDescent="0.3">
      <c r="A11" s="41" t="s">
        <v>78</v>
      </c>
      <c r="B11" s="41" t="s">
        <v>79</v>
      </c>
      <c r="C11" s="151">
        <f>24828.56+30489.81</f>
        <v>55318.37</v>
      </c>
    </row>
    <row r="12" spans="1:3" x14ac:dyDescent="0.3">
      <c r="A12" s="41" t="s">
        <v>80</v>
      </c>
      <c r="B12" s="41" t="s">
        <v>81</v>
      </c>
      <c r="C12" s="151">
        <f>24828.56+30489.81</f>
        <v>55318.37</v>
      </c>
    </row>
    <row r="13" spans="1:3" ht="31.8" x14ac:dyDescent="0.3">
      <c r="A13" s="40" t="s">
        <v>265</v>
      </c>
      <c r="B13" s="40" t="s">
        <v>266</v>
      </c>
      <c r="C13" s="150"/>
    </row>
    <row r="14" spans="1:3" x14ac:dyDescent="0.3">
      <c r="A14" s="41" t="s">
        <v>267</v>
      </c>
      <c r="B14" s="41" t="s">
        <v>268</v>
      </c>
      <c r="C14" s="151"/>
    </row>
    <row r="15" spans="1:3" x14ac:dyDescent="0.3">
      <c r="A15" s="41" t="s">
        <v>269</v>
      </c>
      <c r="B15" s="41" t="s">
        <v>270</v>
      </c>
      <c r="C15" s="151"/>
    </row>
    <row r="16" spans="1:3" x14ac:dyDescent="0.3">
      <c r="A16" s="42" t="s">
        <v>67</v>
      </c>
      <c r="B16" s="42" t="s">
        <v>67</v>
      </c>
      <c r="C16" s="152" t="s">
        <v>82</v>
      </c>
    </row>
    <row r="17" spans="1:3" x14ac:dyDescent="0.3">
      <c r="A17" s="38" t="s">
        <v>63</v>
      </c>
      <c r="B17" s="38" t="s">
        <v>64</v>
      </c>
      <c r="C17" s="149" t="s">
        <v>65</v>
      </c>
    </row>
    <row r="18" spans="1:3" x14ac:dyDescent="0.3">
      <c r="A18" s="39" t="s">
        <v>83</v>
      </c>
      <c r="B18" s="39" t="s">
        <v>67</v>
      </c>
      <c r="C18" s="150">
        <f>C19+C35+C72+C76</f>
        <v>494534.74</v>
      </c>
    </row>
    <row r="19" spans="1:3" x14ac:dyDescent="0.3">
      <c r="A19" s="40" t="s">
        <v>84</v>
      </c>
      <c r="B19" s="40" t="s">
        <v>85</v>
      </c>
      <c r="C19" s="153">
        <f>C20+C30</f>
        <v>212217.81</v>
      </c>
    </row>
    <row r="20" spans="1:3" x14ac:dyDescent="0.3">
      <c r="A20" s="40" t="s">
        <v>86</v>
      </c>
      <c r="B20" s="40" t="s">
        <v>87</v>
      </c>
      <c r="C20" s="150">
        <f>C21+C23+C28+C29</f>
        <v>169498.89</v>
      </c>
    </row>
    <row r="21" spans="1:3" x14ac:dyDescent="0.3">
      <c r="A21" s="113" t="s">
        <v>88</v>
      </c>
      <c r="B21" s="113" t="s">
        <v>89</v>
      </c>
      <c r="C21" s="154">
        <f>C22</f>
        <v>150974.88</v>
      </c>
    </row>
    <row r="22" spans="1:3" x14ac:dyDescent="0.3">
      <c r="A22" s="41" t="s">
        <v>90</v>
      </c>
      <c r="B22" s="41" t="s">
        <v>91</v>
      </c>
      <c r="C22" s="151">
        <v>150974.88</v>
      </c>
    </row>
    <row r="23" spans="1:3" x14ac:dyDescent="0.3">
      <c r="A23" s="113" t="s">
        <v>92</v>
      </c>
      <c r="B23" s="113" t="s">
        <v>93</v>
      </c>
      <c r="C23" s="154">
        <f>C24+C25+C26+C27</f>
        <v>17589.010000000002</v>
      </c>
    </row>
    <row r="24" spans="1:3" x14ac:dyDescent="0.3">
      <c r="A24" s="112" t="s">
        <v>284</v>
      </c>
      <c r="B24" s="112">
        <v>1142</v>
      </c>
      <c r="C24" s="151">
        <v>263.47000000000003</v>
      </c>
    </row>
    <row r="25" spans="1:3" x14ac:dyDescent="0.3">
      <c r="A25" s="112" t="s">
        <v>285</v>
      </c>
      <c r="B25" s="112">
        <v>1146</v>
      </c>
      <c r="C25" s="151">
        <v>2185.1999999999998</v>
      </c>
    </row>
    <row r="26" spans="1:3" x14ac:dyDescent="0.3">
      <c r="A26" s="112" t="s">
        <v>286</v>
      </c>
      <c r="B26" s="112">
        <v>1147</v>
      </c>
      <c r="C26" s="151">
        <v>6508</v>
      </c>
    </row>
    <row r="27" spans="1:3" x14ac:dyDescent="0.3">
      <c r="A27" s="112" t="s">
        <v>94</v>
      </c>
      <c r="B27" s="112" t="s">
        <v>95</v>
      </c>
      <c r="C27" s="151">
        <v>8632.34</v>
      </c>
    </row>
    <row r="28" spans="1:3" ht="21.6" x14ac:dyDescent="0.3">
      <c r="A28" s="41" t="s">
        <v>96</v>
      </c>
      <c r="B28" s="41" t="s">
        <v>97</v>
      </c>
      <c r="C28" s="151">
        <v>680</v>
      </c>
    </row>
    <row r="29" spans="1:3" x14ac:dyDescent="0.3">
      <c r="A29" s="41" t="s">
        <v>271</v>
      </c>
      <c r="B29" s="41" t="s">
        <v>272</v>
      </c>
      <c r="C29" s="151">
        <v>255</v>
      </c>
    </row>
    <row r="30" spans="1:3" ht="21.6" x14ac:dyDescent="0.3">
      <c r="A30" s="40" t="s">
        <v>98</v>
      </c>
      <c r="B30" s="40" t="s">
        <v>99</v>
      </c>
      <c r="C30" s="150">
        <f>C31+C32</f>
        <v>42718.92</v>
      </c>
    </row>
    <row r="31" spans="1:3" x14ac:dyDescent="0.3">
      <c r="A31" s="41" t="s">
        <v>100</v>
      </c>
      <c r="B31" s="41" t="s">
        <v>101</v>
      </c>
      <c r="C31" s="151">
        <v>41877.82</v>
      </c>
    </row>
    <row r="32" spans="1:3" ht="21.6" x14ac:dyDescent="0.3">
      <c r="A32" s="41" t="s">
        <v>102</v>
      </c>
      <c r="B32" s="41" t="s">
        <v>103</v>
      </c>
      <c r="C32" s="151">
        <f>C33+C34</f>
        <v>841.1</v>
      </c>
    </row>
    <row r="33" spans="1:3" ht="31.8" x14ac:dyDescent="0.3">
      <c r="A33" s="112" t="s">
        <v>104</v>
      </c>
      <c r="B33" s="112" t="s">
        <v>105</v>
      </c>
      <c r="C33" s="151">
        <v>591.1</v>
      </c>
    </row>
    <row r="34" spans="1:3" ht="31.8" x14ac:dyDescent="0.3">
      <c r="A34" s="112" t="s">
        <v>106</v>
      </c>
      <c r="B34" s="112" t="s">
        <v>107</v>
      </c>
      <c r="C34" s="151">
        <v>250</v>
      </c>
    </row>
    <row r="35" spans="1:3" x14ac:dyDescent="0.3">
      <c r="A35" s="40" t="s">
        <v>108</v>
      </c>
      <c r="B35" s="40" t="s">
        <v>109</v>
      </c>
      <c r="C35" s="153">
        <f>C36+C40+C61</f>
        <v>117557.65</v>
      </c>
    </row>
    <row r="36" spans="1:3" ht="21.6" x14ac:dyDescent="0.3">
      <c r="A36" s="40" t="s">
        <v>287</v>
      </c>
      <c r="B36" s="40">
        <v>2100</v>
      </c>
      <c r="C36" s="150">
        <f>C37</f>
        <v>0</v>
      </c>
    </row>
    <row r="37" spans="1:3" ht="21.6" x14ac:dyDescent="0.3">
      <c r="A37" s="114" t="s">
        <v>289</v>
      </c>
      <c r="B37" s="114">
        <v>2110</v>
      </c>
      <c r="C37" s="155">
        <f>C38+C39</f>
        <v>0</v>
      </c>
    </row>
    <row r="38" spans="1:3" x14ac:dyDescent="0.3">
      <c r="A38" s="115" t="s">
        <v>288</v>
      </c>
      <c r="B38" s="115">
        <v>2111</v>
      </c>
      <c r="C38" s="155">
        <v>0</v>
      </c>
    </row>
    <row r="39" spans="1:3" x14ac:dyDescent="0.3">
      <c r="A39" s="115" t="s">
        <v>290</v>
      </c>
      <c r="B39" s="115">
        <v>2112</v>
      </c>
      <c r="C39" s="155">
        <v>0</v>
      </c>
    </row>
    <row r="40" spans="1:3" x14ac:dyDescent="0.3">
      <c r="A40" s="40" t="s">
        <v>110</v>
      </c>
      <c r="B40" s="40" t="s">
        <v>111</v>
      </c>
      <c r="C40" s="150">
        <f>C41+C42+C46+C51+C57+C59</f>
        <v>64335.53</v>
      </c>
    </row>
    <row r="41" spans="1:3" x14ac:dyDescent="0.3">
      <c r="A41" s="114" t="s">
        <v>112</v>
      </c>
      <c r="B41" s="114" t="s">
        <v>113</v>
      </c>
      <c r="C41" s="155">
        <v>1989.39</v>
      </c>
    </row>
    <row r="42" spans="1:3" x14ac:dyDescent="0.3">
      <c r="A42" s="113" t="s">
        <v>114</v>
      </c>
      <c r="B42" s="113" t="s">
        <v>115</v>
      </c>
      <c r="C42" s="154">
        <f>C43+C44+C45</f>
        <v>15541.210000000001</v>
      </c>
    </row>
    <row r="43" spans="1:3" x14ac:dyDescent="0.3">
      <c r="A43" s="112" t="s">
        <v>116</v>
      </c>
      <c r="B43" s="112" t="s">
        <v>117</v>
      </c>
      <c r="C43" s="156">
        <v>2603.5300000000002</v>
      </c>
    </row>
    <row r="44" spans="1:3" x14ac:dyDescent="0.3">
      <c r="A44" s="112" t="s">
        <v>118</v>
      </c>
      <c r="B44" s="112" t="s">
        <v>119</v>
      </c>
      <c r="C44" s="156">
        <v>12937.68</v>
      </c>
    </row>
    <row r="45" spans="1:3" x14ac:dyDescent="0.3">
      <c r="A45" s="112" t="s">
        <v>120</v>
      </c>
      <c r="B45" s="112" t="s">
        <v>121</v>
      </c>
      <c r="C45" s="156">
        <v>0</v>
      </c>
    </row>
    <row r="46" spans="1:3" ht="21.6" x14ac:dyDescent="0.3">
      <c r="A46" s="113" t="s">
        <v>122</v>
      </c>
      <c r="B46" s="113" t="s">
        <v>123</v>
      </c>
      <c r="C46" s="154">
        <f>C47+C48+C49+C50</f>
        <v>12219.05</v>
      </c>
    </row>
    <row r="47" spans="1:3" x14ac:dyDescent="0.3">
      <c r="A47" s="112" t="s">
        <v>124</v>
      </c>
      <c r="B47" s="41" t="s">
        <v>125</v>
      </c>
      <c r="C47" s="151">
        <v>140.44</v>
      </c>
    </row>
    <row r="48" spans="1:3" ht="21.6" x14ac:dyDescent="0.3">
      <c r="A48" s="112" t="s">
        <v>126</v>
      </c>
      <c r="B48" s="41" t="s">
        <v>127</v>
      </c>
      <c r="C48" s="156">
        <v>323.55</v>
      </c>
    </row>
    <row r="49" spans="1:3" x14ac:dyDescent="0.3">
      <c r="A49" s="112" t="s">
        <v>128</v>
      </c>
      <c r="B49" s="41" t="s">
        <v>129</v>
      </c>
      <c r="C49" s="156">
        <v>0</v>
      </c>
    </row>
    <row r="50" spans="1:3" x14ac:dyDescent="0.3">
      <c r="A50" s="112" t="s">
        <v>130</v>
      </c>
      <c r="B50" s="41" t="s">
        <v>131</v>
      </c>
      <c r="C50" s="156">
        <v>11755.06</v>
      </c>
    </row>
    <row r="51" spans="1:3" x14ac:dyDescent="0.3">
      <c r="A51" s="113" t="s">
        <v>132</v>
      </c>
      <c r="B51" s="113" t="s">
        <v>133</v>
      </c>
      <c r="C51" s="154">
        <f>C52+C53+C54+C55+C56</f>
        <v>34002.869999999995</v>
      </c>
    </row>
    <row r="52" spans="1:3" x14ac:dyDescent="0.3">
      <c r="A52" s="112" t="s">
        <v>134</v>
      </c>
      <c r="B52" s="41" t="s">
        <v>135</v>
      </c>
      <c r="C52" s="156">
        <v>13118.66</v>
      </c>
    </row>
    <row r="53" spans="1:3" x14ac:dyDescent="0.3">
      <c r="A53" s="112" t="s">
        <v>136</v>
      </c>
      <c r="B53" s="41" t="s">
        <v>137</v>
      </c>
      <c r="C53" s="156">
        <v>7580.91</v>
      </c>
    </row>
    <row r="54" spans="1:3" x14ac:dyDescent="0.3">
      <c r="A54" s="112" t="s">
        <v>138</v>
      </c>
      <c r="B54" s="41" t="s">
        <v>139</v>
      </c>
      <c r="C54" s="156">
        <v>11736.56</v>
      </c>
    </row>
    <row r="55" spans="1:3" x14ac:dyDescent="0.3">
      <c r="A55" s="112" t="s">
        <v>140</v>
      </c>
      <c r="B55" s="41" t="s">
        <v>141</v>
      </c>
      <c r="C55" s="156">
        <v>0</v>
      </c>
    </row>
    <row r="56" spans="1:3" x14ac:dyDescent="0.3">
      <c r="A56" s="112" t="s">
        <v>142</v>
      </c>
      <c r="B56" s="41" t="s">
        <v>143</v>
      </c>
      <c r="C56" s="156">
        <v>1566.74</v>
      </c>
    </row>
    <row r="57" spans="1:3" x14ac:dyDescent="0.3">
      <c r="A57" s="113" t="s">
        <v>144</v>
      </c>
      <c r="B57" s="113" t="s">
        <v>145</v>
      </c>
      <c r="C57" s="154">
        <f>C58</f>
        <v>583.01</v>
      </c>
    </row>
    <row r="58" spans="1:3" x14ac:dyDescent="0.3">
      <c r="A58" s="112" t="s">
        <v>55</v>
      </c>
      <c r="B58" s="41" t="s">
        <v>146</v>
      </c>
      <c r="C58" s="156">
        <v>583.01</v>
      </c>
    </row>
    <row r="59" spans="1:3" x14ac:dyDescent="0.3">
      <c r="A59" s="113" t="s">
        <v>147</v>
      </c>
      <c r="B59" s="113" t="s">
        <v>148</v>
      </c>
      <c r="C59" s="154">
        <f>C60</f>
        <v>0</v>
      </c>
    </row>
    <row r="60" spans="1:3" x14ac:dyDescent="0.3">
      <c r="A60" s="112" t="s">
        <v>149</v>
      </c>
      <c r="B60" s="41" t="s">
        <v>150</v>
      </c>
      <c r="C60" s="156">
        <v>0</v>
      </c>
    </row>
    <row r="61" spans="1:3" ht="21.6" x14ac:dyDescent="0.3">
      <c r="A61" s="40" t="s">
        <v>151</v>
      </c>
      <c r="B61" s="40" t="s">
        <v>152</v>
      </c>
      <c r="C61" s="150">
        <f>C62+C65+C68+C70+C71</f>
        <v>53222.12</v>
      </c>
    </row>
    <row r="62" spans="1:3" x14ac:dyDescent="0.3">
      <c r="A62" s="113" t="s">
        <v>153</v>
      </c>
      <c r="B62" s="113" t="s">
        <v>154</v>
      </c>
      <c r="C62" s="154">
        <f>C63+C64</f>
        <v>4405.3099999999995</v>
      </c>
    </row>
    <row r="63" spans="1:3" x14ac:dyDescent="0.3">
      <c r="A63" s="112" t="s">
        <v>56</v>
      </c>
      <c r="B63" s="41" t="s">
        <v>155</v>
      </c>
      <c r="C63" s="156">
        <v>514.11</v>
      </c>
    </row>
    <row r="64" spans="1:3" x14ac:dyDescent="0.3">
      <c r="A64" s="112" t="s">
        <v>57</v>
      </c>
      <c r="B64" s="41" t="s">
        <v>156</v>
      </c>
      <c r="C64" s="156">
        <v>3891.2</v>
      </c>
    </row>
    <row r="65" spans="1:3" x14ac:dyDescent="0.3">
      <c r="A65" s="113" t="s">
        <v>157</v>
      </c>
      <c r="B65" s="113" t="s">
        <v>158</v>
      </c>
      <c r="C65" s="154">
        <f>C66+C67</f>
        <v>41248.480000000003</v>
      </c>
    </row>
    <row r="66" spans="1:3" x14ac:dyDescent="0.3">
      <c r="A66" s="112" t="s">
        <v>42</v>
      </c>
      <c r="B66" s="41" t="s">
        <v>159</v>
      </c>
      <c r="C66" s="156">
        <v>40852.29</v>
      </c>
    </row>
    <row r="67" spans="1:3" x14ac:dyDescent="0.3">
      <c r="A67" s="112" t="s">
        <v>160</v>
      </c>
      <c r="B67" s="41" t="s">
        <v>161</v>
      </c>
      <c r="C67" s="151">
        <v>396.19</v>
      </c>
    </row>
    <row r="68" spans="1:3" ht="31.8" x14ac:dyDescent="0.3">
      <c r="A68" s="113" t="s">
        <v>162</v>
      </c>
      <c r="B68" s="113" t="s">
        <v>163</v>
      </c>
      <c r="C68" s="154">
        <f>C69</f>
        <v>0</v>
      </c>
    </row>
    <row r="69" spans="1:3" x14ac:dyDescent="0.3">
      <c r="A69" s="112" t="s">
        <v>164</v>
      </c>
      <c r="B69" s="41" t="s">
        <v>165</v>
      </c>
      <c r="C69" s="151"/>
    </row>
    <row r="70" spans="1:3" x14ac:dyDescent="0.3">
      <c r="A70" s="113" t="s">
        <v>166</v>
      </c>
      <c r="B70" s="113" t="s">
        <v>167</v>
      </c>
      <c r="C70" s="157">
        <v>6169.92</v>
      </c>
    </row>
    <row r="71" spans="1:3" x14ac:dyDescent="0.3">
      <c r="A71" s="113" t="s">
        <v>168</v>
      </c>
      <c r="B71" s="113" t="s">
        <v>169</v>
      </c>
      <c r="C71" s="157">
        <v>1398.41</v>
      </c>
    </row>
    <row r="72" spans="1:3" x14ac:dyDescent="0.3">
      <c r="A72" s="40" t="s">
        <v>170</v>
      </c>
      <c r="B72" s="40" t="s">
        <v>171</v>
      </c>
      <c r="C72" s="153">
        <f>C73</f>
        <v>17601.759999999998</v>
      </c>
    </row>
    <row r="73" spans="1:3" ht="21.6" x14ac:dyDescent="0.3">
      <c r="A73" s="40" t="s">
        <v>172</v>
      </c>
      <c r="B73" s="40" t="s">
        <v>173</v>
      </c>
      <c r="C73" s="150">
        <f>C74</f>
        <v>17601.759999999998</v>
      </c>
    </row>
    <row r="74" spans="1:3" ht="21.6" x14ac:dyDescent="0.3">
      <c r="A74" s="41" t="s">
        <v>174</v>
      </c>
      <c r="B74" s="41" t="s">
        <v>175</v>
      </c>
      <c r="C74" s="151">
        <f>C75</f>
        <v>17601.759999999998</v>
      </c>
    </row>
    <row r="75" spans="1:3" ht="21.6" x14ac:dyDescent="0.3">
      <c r="A75" s="41" t="s">
        <v>176</v>
      </c>
      <c r="B75" s="41" t="s">
        <v>177</v>
      </c>
      <c r="C75" s="151">
        <v>17601.759999999998</v>
      </c>
    </row>
    <row r="76" spans="1:3" x14ac:dyDescent="0.3">
      <c r="A76" s="40" t="s">
        <v>178</v>
      </c>
      <c r="B76" s="40" t="s">
        <v>179</v>
      </c>
      <c r="C76" s="153">
        <f>C77</f>
        <v>147157.51999999999</v>
      </c>
    </row>
    <row r="77" spans="1:3" x14ac:dyDescent="0.3">
      <c r="A77" s="40" t="s">
        <v>180</v>
      </c>
      <c r="B77" s="40" t="s">
        <v>181</v>
      </c>
      <c r="C77" s="150">
        <f>C78+C82</f>
        <v>147157.51999999999</v>
      </c>
    </row>
    <row r="78" spans="1:3" x14ac:dyDescent="0.3">
      <c r="A78" s="113" t="s">
        <v>182</v>
      </c>
      <c r="B78" s="113" t="s">
        <v>183</v>
      </c>
      <c r="C78" s="154">
        <f>C79+C80+C81</f>
        <v>11329.369999999999</v>
      </c>
    </row>
    <row r="79" spans="1:3" x14ac:dyDescent="0.3">
      <c r="A79" s="112" t="s">
        <v>184</v>
      </c>
      <c r="B79" s="112" t="s">
        <v>185</v>
      </c>
      <c r="C79" s="151"/>
    </row>
    <row r="80" spans="1:3" x14ac:dyDescent="0.3">
      <c r="A80" s="112" t="s">
        <v>186</v>
      </c>
      <c r="B80" s="112" t="s">
        <v>187</v>
      </c>
      <c r="C80" s="151">
        <v>175.31</v>
      </c>
    </row>
    <row r="81" spans="1:3" x14ac:dyDescent="0.3">
      <c r="A81" s="112" t="s">
        <v>291</v>
      </c>
      <c r="B81" s="112">
        <v>5239</v>
      </c>
      <c r="C81" s="151">
        <v>11154.06</v>
      </c>
    </row>
    <row r="82" spans="1:3" x14ac:dyDescent="0.3">
      <c r="A82" s="113" t="s">
        <v>188</v>
      </c>
      <c r="B82" s="113" t="s">
        <v>189</v>
      </c>
      <c r="C82" s="154">
        <v>135828.15</v>
      </c>
    </row>
    <row r="83" spans="1:3" x14ac:dyDescent="0.3">
      <c r="A83" s="41" t="s">
        <v>263</v>
      </c>
      <c r="B83" s="41" t="s">
        <v>264</v>
      </c>
      <c r="C83" s="158">
        <v>0</v>
      </c>
    </row>
    <row r="85" spans="1:3" x14ac:dyDescent="0.3">
      <c r="A85" s="90" t="s">
        <v>213</v>
      </c>
    </row>
    <row r="86" spans="1:3" x14ac:dyDescent="0.3">
      <c r="A86" s="89" t="s">
        <v>214</v>
      </c>
      <c r="B86" s="44">
        <v>31</v>
      </c>
    </row>
    <row r="87" spans="1:3" x14ac:dyDescent="0.3">
      <c r="A87" s="89" t="s">
        <v>215</v>
      </c>
      <c r="B87" s="44">
        <v>190</v>
      </c>
    </row>
    <row r="88" spans="1:3" x14ac:dyDescent="0.3">
      <c r="A88" s="89"/>
      <c r="B88" s="92">
        <f>SUM(B86:B87)</f>
        <v>221</v>
      </c>
    </row>
    <row r="89" spans="1:3" x14ac:dyDescent="0.3">
      <c r="A89" s="89"/>
      <c r="B89" s="91"/>
    </row>
    <row r="90" spans="1:3" x14ac:dyDescent="0.3">
      <c r="A90" s="89" t="s">
        <v>216</v>
      </c>
      <c r="B90" s="44">
        <v>230</v>
      </c>
    </row>
    <row r="91" spans="1:3" x14ac:dyDescent="0.3">
      <c r="A91" s="89" t="s">
        <v>218</v>
      </c>
      <c r="B91" s="44">
        <v>14</v>
      </c>
    </row>
    <row r="92" spans="1:3" x14ac:dyDescent="0.3">
      <c r="A92" s="89" t="s">
        <v>219</v>
      </c>
      <c r="B92" s="44">
        <v>46</v>
      </c>
    </row>
    <row r="93" spans="1:3" x14ac:dyDescent="0.3">
      <c r="A93" s="89" t="s">
        <v>220</v>
      </c>
      <c r="B93" s="44">
        <v>210</v>
      </c>
    </row>
    <row r="94" spans="1:3" x14ac:dyDescent="0.3">
      <c r="A94" s="89" t="s">
        <v>222</v>
      </c>
      <c r="B94" s="44">
        <v>48</v>
      </c>
    </row>
    <row r="97" spans="1:2" x14ac:dyDescent="0.3">
      <c r="A97" s="89" t="s">
        <v>217</v>
      </c>
      <c r="B97" s="44">
        <v>70</v>
      </c>
    </row>
    <row r="98" spans="1:2" x14ac:dyDescent="0.3">
      <c r="A98" s="89" t="s">
        <v>223</v>
      </c>
      <c r="B98" s="44">
        <v>60</v>
      </c>
    </row>
    <row r="100" spans="1:2" x14ac:dyDescent="0.3">
      <c r="A100" s="89" t="s">
        <v>221</v>
      </c>
      <c r="B100" s="44">
        <f>319+93</f>
        <v>412</v>
      </c>
    </row>
    <row r="101" spans="1:2" x14ac:dyDescent="0.3">
      <c r="A101" s="89"/>
      <c r="B101" s="93">
        <f>SUM(B100:B100)</f>
        <v>412</v>
      </c>
    </row>
    <row r="103" spans="1:2" x14ac:dyDescent="0.3">
      <c r="A103" s="104" t="s">
        <v>276</v>
      </c>
      <c r="B103">
        <v>6984.36</v>
      </c>
    </row>
  </sheetData>
  <mergeCells count="2">
    <mergeCell ref="A2:A3"/>
    <mergeCell ref="B2:B3"/>
  </mergeCell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33"/>
  <sheetViews>
    <sheetView topLeftCell="A2" zoomScale="70" zoomScaleNormal="70" workbookViewId="0">
      <selection activeCell="B2" sqref="B2:C32"/>
    </sheetView>
  </sheetViews>
  <sheetFormatPr defaultColWidth="9.109375" defaultRowHeight="13.8" x14ac:dyDescent="0.25"/>
  <cols>
    <col min="1" max="1" width="3.44140625" style="251" customWidth="1"/>
    <col min="2" max="2" width="44" style="251" customWidth="1"/>
    <col min="3" max="3" width="39.21875" style="250" customWidth="1"/>
    <col min="4" max="16384" width="9.109375" style="251"/>
  </cols>
  <sheetData>
    <row r="2" spans="2:4" ht="20.399999999999999" x14ac:dyDescent="0.35">
      <c r="B2" s="282" t="s">
        <v>330</v>
      </c>
      <c r="C2" s="283"/>
    </row>
    <row r="3" spans="2:4" ht="18" x14ac:dyDescent="0.35">
      <c r="B3" s="286" t="s">
        <v>331</v>
      </c>
      <c r="C3" s="287"/>
      <c r="D3" s="253"/>
    </row>
    <row r="4" spans="2:4" ht="18" x14ac:dyDescent="0.35">
      <c r="B4" s="285" t="s">
        <v>309</v>
      </c>
      <c r="C4" s="284" t="s">
        <v>332</v>
      </c>
      <c r="D4" s="253"/>
    </row>
    <row r="5" spans="2:4" ht="18" x14ac:dyDescent="0.35">
      <c r="B5" s="285" t="s">
        <v>333</v>
      </c>
      <c r="C5" s="284" t="s">
        <v>334</v>
      </c>
      <c r="D5" s="253"/>
    </row>
    <row r="6" spans="2:4" ht="18" x14ac:dyDescent="0.35">
      <c r="B6" s="285" t="s">
        <v>335</v>
      </c>
      <c r="C6" s="284" t="s">
        <v>336</v>
      </c>
      <c r="D6" s="253"/>
    </row>
    <row r="7" spans="2:4" ht="18" x14ac:dyDescent="0.35">
      <c r="B7" s="285"/>
      <c r="C7" s="284"/>
      <c r="D7" s="253"/>
    </row>
    <row r="8" spans="2:4" ht="18" x14ac:dyDescent="0.35">
      <c r="B8" s="286" t="s">
        <v>337</v>
      </c>
      <c r="C8" s="287"/>
      <c r="D8" s="253"/>
    </row>
    <row r="9" spans="2:4" ht="18" x14ac:dyDescent="0.35">
      <c r="B9" s="285" t="s">
        <v>335</v>
      </c>
      <c r="C9" s="284" t="s">
        <v>338</v>
      </c>
      <c r="D9" s="253"/>
    </row>
    <row r="10" spans="2:4" ht="18" x14ac:dyDescent="0.35">
      <c r="B10" s="285"/>
      <c r="C10" s="284"/>
      <c r="D10" s="253"/>
    </row>
    <row r="11" spans="2:4" ht="18" x14ac:dyDescent="0.35">
      <c r="B11" s="286" t="s">
        <v>339</v>
      </c>
      <c r="C11" s="287"/>
      <c r="D11" s="253"/>
    </row>
    <row r="12" spans="2:4" ht="18" x14ac:dyDescent="0.35">
      <c r="B12" s="285" t="s">
        <v>309</v>
      </c>
      <c r="C12" s="284" t="s">
        <v>340</v>
      </c>
      <c r="D12" s="253"/>
    </row>
    <row r="13" spans="2:4" ht="18" x14ac:dyDescent="0.35">
      <c r="B13" s="285" t="s">
        <v>333</v>
      </c>
      <c r="C13" s="284" t="s">
        <v>341</v>
      </c>
      <c r="D13" s="253"/>
    </row>
    <row r="14" spans="2:4" ht="18" x14ac:dyDescent="0.35">
      <c r="B14" s="285"/>
      <c r="C14" s="284" t="s">
        <v>342</v>
      </c>
      <c r="D14" s="253"/>
    </row>
    <row r="15" spans="2:4" ht="18" x14ac:dyDescent="0.35">
      <c r="B15" s="285"/>
      <c r="C15" s="284"/>
      <c r="D15" s="253"/>
    </row>
    <row r="16" spans="2:4" ht="18" x14ac:dyDescent="0.35">
      <c r="B16" s="286" t="s">
        <v>343</v>
      </c>
      <c r="C16" s="287"/>
      <c r="D16" s="253"/>
    </row>
    <row r="17" spans="2:4" ht="18" x14ac:dyDescent="0.35">
      <c r="B17" s="285" t="s">
        <v>335</v>
      </c>
      <c r="C17" s="284" t="s">
        <v>344</v>
      </c>
      <c r="D17" s="253"/>
    </row>
    <row r="18" spans="2:4" ht="18" x14ac:dyDescent="0.35">
      <c r="B18" s="285"/>
      <c r="C18" s="284"/>
      <c r="D18" s="253"/>
    </row>
    <row r="19" spans="2:4" ht="18" x14ac:dyDescent="0.35">
      <c r="B19" s="288"/>
      <c r="C19" s="289"/>
      <c r="D19" s="253"/>
    </row>
    <row r="20" spans="2:4" ht="18" x14ac:dyDescent="0.35">
      <c r="B20" s="286" t="s">
        <v>345</v>
      </c>
      <c r="C20" s="287"/>
      <c r="D20" s="253"/>
    </row>
    <row r="21" spans="2:4" ht="18" x14ac:dyDescent="0.35">
      <c r="B21" s="285" t="s">
        <v>335</v>
      </c>
      <c r="C21" s="284" t="s">
        <v>346</v>
      </c>
      <c r="D21" s="253"/>
    </row>
    <row r="22" spans="2:4" ht="18" x14ac:dyDescent="0.35">
      <c r="B22" s="285"/>
      <c r="C22" s="284" t="s">
        <v>347</v>
      </c>
      <c r="D22" s="253"/>
    </row>
    <row r="23" spans="2:4" ht="18" x14ac:dyDescent="0.35">
      <c r="B23" s="285"/>
      <c r="C23" s="284"/>
      <c r="D23" s="253"/>
    </row>
    <row r="24" spans="2:4" ht="18" x14ac:dyDescent="0.35">
      <c r="B24" s="286" t="s">
        <v>348</v>
      </c>
      <c r="C24" s="287"/>
      <c r="D24" s="253"/>
    </row>
    <row r="25" spans="2:4" ht="18" x14ac:dyDescent="0.35">
      <c r="B25" s="285" t="s">
        <v>333</v>
      </c>
      <c r="C25" s="284" t="s">
        <v>349</v>
      </c>
      <c r="D25" s="253"/>
    </row>
    <row r="26" spans="2:4" ht="18" x14ac:dyDescent="0.35">
      <c r="B26" s="285"/>
      <c r="C26" s="284" t="s">
        <v>350</v>
      </c>
      <c r="D26" s="253"/>
    </row>
    <row r="27" spans="2:4" ht="18" x14ac:dyDescent="0.35">
      <c r="B27" s="285"/>
      <c r="C27" s="284"/>
      <c r="D27" s="253"/>
    </row>
    <row r="28" spans="2:4" ht="18" x14ac:dyDescent="0.35">
      <c r="B28" s="286" t="s">
        <v>351</v>
      </c>
      <c r="C28" s="287"/>
      <c r="D28" s="253"/>
    </row>
    <row r="29" spans="2:4" ht="18" x14ac:dyDescent="0.35">
      <c r="B29" s="285" t="s">
        <v>333</v>
      </c>
      <c r="C29" s="284" t="s">
        <v>352</v>
      </c>
      <c r="D29" s="253"/>
    </row>
    <row r="30" spans="2:4" ht="18" x14ac:dyDescent="0.35">
      <c r="B30" s="285" t="s">
        <v>309</v>
      </c>
      <c r="C30" s="284" t="s">
        <v>353</v>
      </c>
      <c r="D30" s="253"/>
    </row>
    <row r="31" spans="2:4" ht="18" x14ac:dyDescent="0.35">
      <c r="B31" s="285"/>
      <c r="C31" s="284"/>
      <c r="D31" s="253"/>
    </row>
    <row r="32" spans="2:4" ht="18" x14ac:dyDescent="0.35">
      <c r="B32" s="290" t="s">
        <v>354</v>
      </c>
      <c r="C32" s="291"/>
      <c r="D32" s="253"/>
    </row>
    <row r="33" spans="2:4" ht="18" x14ac:dyDescent="0.35">
      <c r="B33" s="253"/>
      <c r="C33" s="252"/>
      <c r="D33" s="253"/>
    </row>
  </sheetData>
  <mergeCells count="1">
    <mergeCell ref="B32:C3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3"/>
  <sheetViews>
    <sheetView topLeftCell="A90" zoomScaleNormal="100" workbookViewId="0">
      <selection activeCell="G104" sqref="G104"/>
    </sheetView>
  </sheetViews>
  <sheetFormatPr defaultColWidth="9.109375" defaultRowHeight="13.8" x14ac:dyDescent="0.25"/>
  <cols>
    <col min="1" max="1" width="41.44140625" style="66" customWidth="1"/>
    <col min="2" max="3" width="10.109375" style="66" customWidth="1"/>
    <col min="4" max="4" width="15.6640625" style="66" customWidth="1"/>
    <col min="5" max="5" width="10.88671875" style="66" customWidth="1"/>
    <col min="6" max="6" width="11.5546875" style="66" customWidth="1"/>
    <col min="7" max="7" width="42.6640625" style="164" customWidth="1"/>
    <col min="8" max="16384" width="9.109375" style="66"/>
  </cols>
  <sheetData>
    <row r="1" spans="1:7" ht="14.4" thickBot="1" x14ac:dyDescent="0.3"/>
    <row r="2" spans="1:7" ht="31.5" customHeight="1" x14ac:dyDescent="0.25">
      <c r="A2" s="66" t="s">
        <v>193</v>
      </c>
      <c r="D2" s="260" t="s">
        <v>210</v>
      </c>
      <c r="E2" s="231" t="s">
        <v>203</v>
      </c>
      <c r="F2" s="232" t="s">
        <v>204</v>
      </c>
      <c r="G2" s="246"/>
    </row>
    <row r="3" spans="1:7" ht="27.75" customHeight="1" x14ac:dyDescent="0.25">
      <c r="C3" s="260" t="s">
        <v>209</v>
      </c>
      <c r="D3" s="260"/>
      <c r="E3" s="234">
        <f>ASC_2018_LZ!M3</f>
        <v>25.762459297973262</v>
      </c>
      <c r="F3" s="235">
        <f>E3*1.21</f>
        <v>31.172575750547647</v>
      </c>
      <c r="G3" s="242" t="s">
        <v>201</v>
      </c>
    </row>
    <row r="4" spans="1:7" x14ac:dyDescent="0.25">
      <c r="A4" s="270" t="s">
        <v>329</v>
      </c>
      <c r="B4" s="260" t="s">
        <v>208</v>
      </c>
      <c r="C4" s="260"/>
      <c r="D4" s="260"/>
      <c r="E4" s="243">
        <f>F4/1.21</f>
        <v>28.925619834710744</v>
      </c>
      <c r="F4" s="244">
        <v>35</v>
      </c>
      <c r="G4" s="242" t="s">
        <v>200</v>
      </c>
    </row>
    <row r="5" spans="1:7" ht="17.399999999999999" customHeight="1" thickBot="1" x14ac:dyDescent="0.4">
      <c r="A5" s="271"/>
      <c r="B5" s="257"/>
      <c r="C5" s="257"/>
      <c r="D5" s="257"/>
      <c r="E5" s="247">
        <f>F5/1.21</f>
        <v>31.936933014016439</v>
      </c>
      <c r="F5" s="248">
        <f>D6/D9</f>
        <v>38.643688946959891</v>
      </c>
      <c r="G5" s="249" t="s">
        <v>199</v>
      </c>
    </row>
    <row r="6" spans="1:7" ht="14.4" thickBot="1" x14ac:dyDescent="0.3">
      <c r="A6" s="78" t="s">
        <v>194</v>
      </c>
      <c r="B6" s="79">
        <f>ASC_2018_LZ!B3*12</f>
        <v>60284.154757257435</v>
      </c>
      <c r="C6" s="80">
        <f>B6</f>
        <v>60284.154757257435</v>
      </c>
      <c r="D6" s="87">
        <f>C6</f>
        <v>60284.154757257435</v>
      </c>
      <c r="E6" s="228"/>
      <c r="F6" s="229"/>
      <c r="G6" s="230"/>
    </row>
    <row r="7" spans="1:7" x14ac:dyDescent="0.25">
      <c r="B7" s="68" t="s">
        <v>206</v>
      </c>
      <c r="C7" s="76" t="s">
        <v>196</v>
      </c>
      <c r="D7" s="73" t="s">
        <v>196</v>
      </c>
      <c r="E7" s="66" t="s">
        <v>202</v>
      </c>
    </row>
    <row r="8" spans="1:7" s="67" customFormat="1" x14ac:dyDescent="0.25">
      <c r="A8" s="67" t="s">
        <v>195</v>
      </c>
      <c r="B8" s="70">
        <f>B9+B10+B11</f>
        <v>4620</v>
      </c>
      <c r="C8" s="75">
        <f>C9+C10+C11</f>
        <v>4620</v>
      </c>
      <c r="D8" s="72">
        <f>D9+D10+D11</f>
        <v>4620</v>
      </c>
      <c r="G8" s="227"/>
    </row>
    <row r="9" spans="1:7" ht="27.6" x14ac:dyDescent="0.25">
      <c r="A9" s="71" t="s">
        <v>326</v>
      </c>
      <c r="B9" s="69">
        <f>30*52</f>
        <v>1560</v>
      </c>
      <c r="C9" s="69">
        <f t="shared" ref="C9:D9" si="0">30*52</f>
        <v>1560</v>
      </c>
      <c r="D9" s="69">
        <f t="shared" si="0"/>
        <v>1560</v>
      </c>
      <c r="E9" s="85">
        <f>B9/(B8)</f>
        <v>0.33766233766233766</v>
      </c>
    </row>
    <row r="10" spans="1:7" ht="27.6" x14ac:dyDescent="0.25">
      <c r="A10" s="71" t="s">
        <v>301</v>
      </c>
      <c r="B10" s="66">
        <f>50*36</f>
        <v>1800</v>
      </c>
      <c r="C10" s="66">
        <f t="shared" ref="C10:D10" si="1">50*36</f>
        <v>1800</v>
      </c>
      <c r="D10" s="66">
        <f t="shared" si="1"/>
        <v>1800</v>
      </c>
      <c r="E10" s="85">
        <f>B10/(B8)</f>
        <v>0.38961038961038963</v>
      </c>
    </row>
    <row r="11" spans="1:7" ht="28.2" thickBot="1" x14ac:dyDescent="0.3">
      <c r="A11" s="71" t="s">
        <v>299</v>
      </c>
      <c r="B11" s="66">
        <f>35*36</f>
        <v>1260</v>
      </c>
      <c r="C11" s="66">
        <f t="shared" ref="C11:D11" si="2">35*36</f>
        <v>1260</v>
      </c>
      <c r="D11" s="66">
        <f t="shared" si="2"/>
        <v>1260</v>
      </c>
      <c r="E11" s="85">
        <f>B11/(B8)</f>
        <v>0.27272727272727271</v>
      </c>
    </row>
    <row r="12" spans="1:7" ht="14.4" thickBot="1" x14ac:dyDescent="0.3">
      <c r="A12" s="78" t="s">
        <v>300</v>
      </c>
      <c r="B12" s="82">
        <f>B9*F3</f>
        <v>48629.218170854328</v>
      </c>
      <c r="C12" s="83">
        <f>C9*F4</f>
        <v>54600</v>
      </c>
      <c r="D12" s="84">
        <f>D9*F5</f>
        <v>60284.154757257427</v>
      </c>
      <c r="E12" s="67"/>
      <c r="F12" s="67"/>
    </row>
    <row r="13" spans="1:7" x14ac:dyDescent="0.25">
      <c r="A13" s="66" t="s">
        <v>239</v>
      </c>
      <c r="B13" s="69">
        <f>B6-B12</f>
        <v>11654.936586403106</v>
      </c>
      <c r="C13" s="77">
        <f>C6-C12</f>
        <v>5684.1547572574345</v>
      </c>
      <c r="D13" s="74">
        <f>D6-D12</f>
        <v>0</v>
      </c>
    </row>
    <row r="14" spans="1:7" x14ac:dyDescent="0.25">
      <c r="B14" s="69"/>
      <c r="C14" s="166"/>
      <c r="D14" s="167"/>
    </row>
    <row r="15" spans="1:7" ht="14.4" thickBot="1" x14ac:dyDescent="0.3"/>
    <row r="16" spans="1:7" ht="28.2" thickBot="1" x14ac:dyDescent="0.3">
      <c r="E16" s="231" t="s">
        <v>203</v>
      </c>
      <c r="F16" s="232" t="s">
        <v>204</v>
      </c>
      <c r="G16" s="233"/>
    </row>
    <row r="17" spans="1:7" ht="41.25" customHeight="1" x14ac:dyDescent="0.25">
      <c r="A17" s="169"/>
      <c r="B17" s="170"/>
      <c r="C17" s="261" t="s">
        <v>209</v>
      </c>
      <c r="D17" s="262" t="s">
        <v>210</v>
      </c>
      <c r="E17" s="234">
        <f>ASC_2018_DzZ!M3</f>
        <v>10.282629219222846</v>
      </c>
      <c r="F17" s="235">
        <f>E17*1.21</f>
        <v>12.441981355259644</v>
      </c>
      <c r="G17" s="242" t="s">
        <v>201</v>
      </c>
    </row>
    <row r="18" spans="1:7" ht="24" customHeight="1" x14ac:dyDescent="0.25">
      <c r="A18" s="272" t="s">
        <v>205</v>
      </c>
      <c r="B18" s="256" t="s">
        <v>208</v>
      </c>
      <c r="C18" s="256"/>
      <c r="D18" s="263"/>
      <c r="E18" s="243">
        <f>F18/1.21</f>
        <v>13.223140495867769</v>
      </c>
      <c r="F18" s="244">
        <v>16</v>
      </c>
      <c r="G18" s="242" t="s">
        <v>200</v>
      </c>
    </row>
    <row r="19" spans="1:7" ht="23.25" customHeight="1" thickBot="1" x14ac:dyDescent="0.4">
      <c r="A19" s="273"/>
      <c r="B19" s="257"/>
      <c r="C19" s="257"/>
      <c r="D19" s="264"/>
      <c r="E19" s="239">
        <f>F19/1.21</f>
        <v>14.163401128406123</v>
      </c>
      <c r="F19" s="240">
        <f>D20/D23</f>
        <v>17.13771536537141</v>
      </c>
      <c r="G19" s="241" t="s">
        <v>199</v>
      </c>
    </row>
    <row r="20" spans="1:7" x14ac:dyDescent="0.25">
      <c r="A20" s="194" t="s">
        <v>194</v>
      </c>
      <c r="B20" s="195">
        <f>ASC_2018_DzZ!B3*12</f>
        <v>11105.239556760673</v>
      </c>
      <c r="C20" s="196">
        <f>B20</f>
        <v>11105.239556760673</v>
      </c>
      <c r="D20" s="197">
        <f>C20</f>
        <v>11105.239556760673</v>
      </c>
      <c r="E20" s="168"/>
    </row>
    <row r="21" spans="1:7" x14ac:dyDescent="0.25">
      <c r="A21" s="202"/>
      <c r="B21" s="203" t="s">
        <v>206</v>
      </c>
      <c r="C21" s="204" t="s">
        <v>196</v>
      </c>
      <c r="D21" s="205" t="s">
        <v>196</v>
      </c>
      <c r="E21" s="206" t="s">
        <v>202</v>
      </c>
    </row>
    <row r="22" spans="1:7" s="67" customFormat="1" x14ac:dyDescent="0.25">
      <c r="A22" s="207" t="s">
        <v>195</v>
      </c>
      <c r="B22" s="208">
        <f>B23+B24+B25</f>
        <v>3420</v>
      </c>
      <c r="C22" s="209">
        <f>C23+C24+C25</f>
        <v>3420</v>
      </c>
      <c r="D22" s="210">
        <f>D23+D24+D25</f>
        <v>3420</v>
      </c>
      <c r="E22" s="211"/>
      <c r="G22" s="227"/>
    </row>
    <row r="23" spans="1:7" ht="27.6" x14ac:dyDescent="0.25">
      <c r="A23" s="212" t="s">
        <v>325</v>
      </c>
      <c r="B23" s="213">
        <f>18*36</f>
        <v>648</v>
      </c>
      <c r="C23" s="214">
        <f t="shared" ref="C23:D25" si="3">B23</f>
        <v>648</v>
      </c>
      <c r="D23" s="215">
        <f t="shared" si="3"/>
        <v>648</v>
      </c>
      <c r="E23" s="216">
        <f>B23/(B22)</f>
        <v>0.18947368421052632</v>
      </c>
    </row>
    <row r="24" spans="1:7" ht="27.6" x14ac:dyDescent="0.25">
      <c r="A24" s="212" t="s">
        <v>303</v>
      </c>
      <c r="B24" s="217">
        <f>47*36</f>
        <v>1692</v>
      </c>
      <c r="C24" s="218">
        <f t="shared" si="3"/>
        <v>1692</v>
      </c>
      <c r="D24" s="219">
        <f t="shared" si="3"/>
        <v>1692</v>
      </c>
      <c r="E24" s="216">
        <f>B24/(B22)</f>
        <v>0.49473684210526314</v>
      </c>
    </row>
    <row r="25" spans="1:7" ht="27.6" x14ac:dyDescent="0.25">
      <c r="A25" s="212" t="s">
        <v>302</v>
      </c>
      <c r="B25" s="217">
        <f>30*36</f>
        <v>1080</v>
      </c>
      <c r="C25" s="218">
        <f t="shared" si="3"/>
        <v>1080</v>
      </c>
      <c r="D25" s="219">
        <f t="shared" si="3"/>
        <v>1080</v>
      </c>
      <c r="E25" s="216">
        <f>B25/(B22)</f>
        <v>0.31578947368421051</v>
      </c>
    </row>
    <row r="26" spans="1:7" x14ac:dyDescent="0.25">
      <c r="A26" s="202"/>
      <c r="B26" s="217"/>
      <c r="C26" s="218"/>
      <c r="D26" s="219"/>
      <c r="E26" s="206"/>
    </row>
    <row r="27" spans="1:7" ht="14.4" thickBot="1" x14ac:dyDescent="0.3">
      <c r="A27" s="198" t="s">
        <v>197</v>
      </c>
      <c r="B27" s="199">
        <f>B23*F17</f>
        <v>8062.4039182082497</v>
      </c>
      <c r="C27" s="200">
        <f>C23*F18</f>
        <v>10368</v>
      </c>
      <c r="D27" s="201">
        <f>D23*F19</f>
        <v>11105.239556760673</v>
      </c>
      <c r="E27" s="180"/>
      <c r="F27" s="67"/>
    </row>
    <row r="28" spans="1:7" ht="14.4" thickBot="1" x14ac:dyDescent="0.3">
      <c r="A28" s="189" t="s">
        <v>198</v>
      </c>
      <c r="B28" s="190">
        <f>B20-B27</f>
        <v>3042.835638552423</v>
      </c>
      <c r="C28" s="191">
        <f>C20-C27</f>
        <v>737.23955676067271</v>
      </c>
      <c r="D28" s="192">
        <f>D20-D27</f>
        <v>0</v>
      </c>
      <c r="E28" s="193"/>
    </row>
    <row r="29" spans="1:7" ht="14.4" thickBot="1" x14ac:dyDescent="0.3">
      <c r="A29" s="186"/>
      <c r="B29" s="220"/>
      <c r="C29" s="183"/>
      <c r="D29" s="221"/>
      <c r="E29" s="186"/>
    </row>
    <row r="30" spans="1:7" ht="28.2" thickBot="1" x14ac:dyDescent="0.3">
      <c r="E30" s="231" t="s">
        <v>203</v>
      </c>
      <c r="F30" s="232" t="s">
        <v>204</v>
      </c>
      <c r="G30" s="233"/>
    </row>
    <row r="31" spans="1:7" ht="27.6" x14ac:dyDescent="0.25">
      <c r="A31" s="169"/>
      <c r="B31" s="170"/>
      <c r="C31" s="261" t="s">
        <v>209</v>
      </c>
      <c r="D31" s="265" t="s">
        <v>210</v>
      </c>
      <c r="E31" s="234">
        <f>ASC_2018_AerobZ!M3</f>
        <v>5.2977361891907417</v>
      </c>
      <c r="F31" s="235">
        <f>E31*1.21</f>
        <v>6.4102607889207972</v>
      </c>
      <c r="G31" s="242" t="s">
        <v>201</v>
      </c>
    </row>
    <row r="32" spans="1:7" ht="30" customHeight="1" x14ac:dyDescent="0.25">
      <c r="A32" s="272" t="s">
        <v>207</v>
      </c>
      <c r="B32" s="256" t="s">
        <v>208</v>
      </c>
      <c r="C32" s="256"/>
      <c r="D32" s="258"/>
      <c r="E32" s="243">
        <f>F32/1.21</f>
        <v>13.223140495867769</v>
      </c>
      <c r="F32" s="244">
        <v>16</v>
      </c>
      <c r="G32" s="242" t="s">
        <v>200</v>
      </c>
    </row>
    <row r="33" spans="1:8" ht="26.25" customHeight="1" thickBot="1" x14ac:dyDescent="0.4">
      <c r="A33" s="272"/>
      <c r="B33" s="256"/>
      <c r="C33" s="256"/>
      <c r="D33" s="258"/>
      <c r="E33" s="239">
        <f>F33/1.21</f>
        <v>9.7295430471822613</v>
      </c>
      <c r="F33" s="240">
        <f>D34/D37</f>
        <v>11.772747087090536</v>
      </c>
      <c r="G33" s="241" t="s">
        <v>199</v>
      </c>
    </row>
    <row r="34" spans="1:8" x14ac:dyDescent="0.25">
      <c r="A34" s="176" t="s">
        <v>194</v>
      </c>
      <c r="B34" s="177">
        <f>ASC_2018_AerobZ!B3*12</f>
        <v>7628.7401124346679</v>
      </c>
      <c r="C34" s="178">
        <f>B34</f>
        <v>7628.7401124346679</v>
      </c>
      <c r="D34" s="179">
        <f>C34</f>
        <v>7628.7401124346679</v>
      </c>
      <c r="E34" s="175"/>
    </row>
    <row r="35" spans="1:8" x14ac:dyDescent="0.25">
      <c r="A35" s="171"/>
      <c r="B35" s="172" t="s">
        <v>206</v>
      </c>
      <c r="C35" s="173" t="s">
        <v>196</v>
      </c>
      <c r="D35" s="174" t="s">
        <v>196</v>
      </c>
      <c r="E35" s="175" t="s">
        <v>202</v>
      </c>
    </row>
    <row r="36" spans="1:8" x14ac:dyDescent="0.25">
      <c r="A36" s="176" t="s">
        <v>195</v>
      </c>
      <c r="B36" s="177">
        <f>B37+B38+B39</f>
        <v>2628</v>
      </c>
      <c r="C36" s="177">
        <f>C37+C38+C39</f>
        <v>2628</v>
      </c>
      <c r="D36" s="177">
        <f>D37+D38+D39</f>
        <v>2628</v>
      </c>
      <c r="E36" s="180"/>
      <c r="F36" s="67"/>
      <c r="G36" s="227"/>
      <c r="H36" s="67"/>
    </row>
    <row r="37" spans="1:8" ht="27.6" x14ac:dyDescent="0.25">
      <c r="A37" s="181" t="s">
        <v>325</v>
      </c>
      <c r="B37" s="182">
        <f>18*36</f>
        <v>648</v>
      </c>
      <c r="C37" s="183">
        <f t="shared" ref="C37:D39" si="4">B37</f>
        <v>648</v>
      </c>
      <c r="D37" s="184">
        <f t="shared" si="4"/>
        <v>648</v>
      </c>
      <c r="E37" s="185">
        <f>B37/(B36)</f>
        <v>0.24657534246575341</v>
      </c>
    </row>
    <row r="38" spans="1:8" ht="27.6" x14ac:dyDescent="0.25">
      <c r="A38" s="181" t="s">
        <v>327</v>
      </c>
      <c r="B38" s="186">
        <f>20*36</f>
        <v>720</v>
      </c>
      <c r="C38" s="187">
        <f t="shared" si="4"/>
        <v>720</v>
      </c>
      <c r="D38" s="188">
        <f t="shared" si="4"/>
        <v>720</v>
      </c>
      <c r="E38" s="185">
        <f>B38/(B36)</f>
        <v>0.27397260273972601</v>
      </c>
    </row>
    <row r="39" spans="1:8" ht="27.6" x14ac:dyDescent="0.25">
      <c r="A39" s="181" t="s">
        <v>299</v>
      </c>
      <c r="B39" s="186">
        <f>35*36</f>
        <v>1260</v>
      </c>
      <c r="C39" s="187">
        <f t="shared" si="4"/>
        <v>1260</v>
      </c>
      <c r="D39" s="188">
        <f t="shared" si="4"/>
        <v>1260</v>
      </c>
      <c r="E39" s="185">
        <f>B39/(B36)</f>
        <v>0.47945205479452052</v>
      </c>
    </row>
    <row r="40" spans="1:8" x14ac:dyDescent="0.25">
      <c r="A40" s="176" t="s">
        <v>197</v>
      </c>
      <c r="B40" s="222">
        <f>B37*F31</f>
        <v>4153.8489912206769</v>
      </c>
      <c r="C40" s="223">
        <f>C37*F32</f>
        <v>10368</v>
      </c>
      <c r="D40" s="224">
        <f>D37*F33</f>
        <v>7628.7401124346679</v>
      </c>
      <c r="E40" s="180"/>
      <c r="F40" s="67"/>
    </row>
    <row r="41" spans="1:8" ht="14.4" thickBot="1" x14ac:dyDescent="0.3">
      <c r="A41" s="189" t="s">
        <v>198</v>
      </c>
      <c r="B41" s="190">
        <f>B34-B40</f>
        <v>3474.891121213991</v>
      </c>
      <c r="C41" s="225">
        <f>C34-C40</f>
        <v>-2739.2598875653321</v>
      </c>
      <c r="D41" s="192">
        <f>D34-D40</f>
        <v>0</v>
      </c>
      <c r="E41" s="193"/>
    </row>
    <row r="42" spans="1:8" ht="14.4" thickBot="1" x14ac:dyDescent="0.3"/>
    <row r="43" spans="1:8" ht="27.6" x14ac:dyDescent="0.25">
      <c r="A43" s="169"/>
      <c r="B43" s="170"/>
      <c r="C43" s="170"/>
      <c r="D43" s="170"/>
      <c r="E43" s="231" t="s">
        <v>203</v>
      </c>
      <c r="F43" s="232" t="s">
        <v>204</v>
      </c>
      <c r="G43" s="233"/>
    </row>
    <row r="44" spans="1:8" ht="31.5" customHeight="1" x14ac:dyDescent="0.25">
      <c r="A44" s="171"/>
      <c r="B44" s="186"/>
      <c r="C44" s="256" t="s">
        <v>209</v>
      </c>
      <c r="D44" s="258" t="s">
        <v>210</v>
      </c>
      <c r="E44" s="234">
        <f>ASC_2018_Galda_teniss!M3</f>
        <v>0.66449626298281295</v>
      </c>
      <c r="F44" s="235">
        <f>E44*1.21</f>
        <v>0.80404047820920366</v>
      </c>
      <c r="G44" s="242" t="s">
        <v>201</v>
      </c>
    </row>
    <row r="45" spans="1:8" ht="27.75" customHeight="1" x14ac:dyDescent="0.25">
      <c r="A45" s="274" t="s">
        <v>278</v>
      </c>
      <c r="B45" s="256" t="s">
        <v>208</v>
      </c>
      <c r="C45" s="256"/>
      <c r="D45" s="258"/>
      <c r="E45" s="243">
        <f>F45/1.21</f>
        <v>1.8181818181818183</v>
      </c>
      <c r="F45" s="245">
        <v>2.2000000000000002</v>
      </c>
      <c r="G45" s="242" t="s">
        <v>200</v>
      </c>
    </row>
    <row r="46" spans="1:8" ht="15" customHeight="1" thickBot="1" x14ac:dyDescent="0.4">
      <c r="A46" s="275"/>
      <c r="B46" s="257"/>
      <c r="C46" s="257"/>
      <c r="D46" s="259"/>
      <c r="E46" s="239">
        <f>F46/1.21</f>
        <v>1.1306450755662836</v>
      </c>
      <c r="F46" s="240">
        <f>D47/D50</f>
        <v>1.3680805414352031</v>
      </c>
      <c r="G46" s="241" t="s">
        <v>199</v>
      </c>
    </row>
    <row r="47" spans="1:8" ht="15" customHeight="1" thickBot="1" x14ac:dyDescent="0.3">
      <c r="A47" s="78" t="s">
        <v>194</v>
      </c>
      <c r="B47" s="79">
        <f>ASC_2018_Galda_teniss!B3*12</f>
        <v>1674.5305827166885</v>
      </c>
      <c r="C47" s="80">
        <f>B47</f>
        <v>1674.5305827166885</v>
      </c>
      <c r="D47" s="81">
        <f>C47</f>
        <v>1674.5305827166885</v>
      </c>
      <c r="E47" s="175"/>
    </row>
    <row r="48" spans="1:8" x14ac:dyDescent="0.25">
      <c r="A48" s="171"/>
      <c r="B48" s="172" t="s">
        <v>206</v>
      </c>
      <c r="C48" s="173" t="s">
        <v>196</v>
      </c>
      <c r="D48" s="174" t="s">
        <v>196</v>
      </c>
      <c r="E48" s="175" t="s">
        <v>202</v>
      </c>
    </row>
    <row r="49" spans="1:7" x14ac:dyDescent="0.25">
      <c r="A49" s="176" t="s">
        <v>195</v>
      </c>
      <c r="B49" s="177">
        <f>B50+B51+B52</f>
        <v>3060</v>
      </c>
      <c r="C49" s="177">
        <f>C50+C51+C52</f>
        <v>3060</v>
      </c>
      <c r="D49" s="177">
        <f>D50+D51+D52</f>
        <v>3060</v>
      </c>
      <c r="E49" s="180"/>
      <c r="F49" s="67"/>
      <c r="G49" s="227"/>
    </row>
    <row r="50" spans="1:7" s="67" customFormat="1" ht="27.6" x14ac:dyDescent="0.25">
      <c r="A50" s="181" t="s">
        <v>304</v>
      </c>
      <c r="B50" s="182">
        <f>34*36</f>
        <v>1224</v>
      </c>
      <c r="C50" s="183">
        <f t="shared" ref="C50:D52" si="5">B50</f>
        <v>1224</v>
      </c>
      <c r="D50" s="184">
        <f t="shared" si="5"/>
        <v>1224</v>
      </c>
      <c r="E50" s="185">
        <f>B50/(B49)</f>
        <v>0.4</v>
      </c>
      <c r="F50" s="66"/>
      <c r="G50" s="164"/>
    </row>
    <row r="51" spans="1:7" ht="27.6" x14ac:dyDescent="0.25">
      <c r="A51" s="181" t="s">
        <v>328</v>
      </c>
      <c r="B51" s="186">
        <f>16*36</f>
        <v>576</v>
      </c>
      <c r="C51" s="187">
        <f t="shared" si="5"/>
        <v>576</v>
      </c>
      <c r="D51" s="188">
        <f t="shared" si="5"/>
        <v>576</v>
      </c>
      <c r="E51" s="185">
        <f>B51/(B49)</f>
        <v>0.18823529411764706</v>
      </c>
    </row>
    <row r="52" spans="1:7" ht="28.2" thickBot="1" x14ac:dyDescent="0.3">
      <c r="A52" s="181" t="s">
        <v>299</v>
      </c>
      <c r="B52" s="186">
        <f>35*36</f>
        <v>1260</v>
      </c>
      <c r="C52" s="187">
        <f t="shared" si="5"/>
        <v>1260</v>
      </c>
      <c r="D52" s="188">
        <f t="shared" si="5"/>
        <v>1260</v>
      </c>
      <c r="E52" s="185">
        <f>B52/(B49)</f>
        <v>0.41176470588235292</v>
      </c>
    </row>
    <row r="53" spans="1:7" ht="14.4" thickBot="1" x14ac:dyDescent="0.3">
      <c r="A53" s="78" t="s">
        <v>197</v>
      </c>
      <c r="B53" s="82">
        <f>B50*E44</f>
        <v>813.34342589096309</v>
      </c>
      <c r="C53" s="83">
        <f>C50*E45</f>
        <v>2225.4545454545455</v>
      </c>
      <c r="D53" s="84">
        <f>D50*F46</f>
        <v>1674.5305827166885</v>
      </c>
      <c r="E53" s="180"/>
      <c r="F53" s="67"/>
    </row>
    <row r="54" spans="1:7" ht="14.4" thickBot="1" x14ac:dyDescent="0.3">
      <c r="A54" s="189" t="s">
        <v>198</v>
      </c>
      <c r="B54" s="226">
        <f>B47-B53</f>
        <v>861.18715682572542</v>
      </c>
      <c r="C54" s="191">
        <f>C47-C53</f>
        <v>-550.92396273785698</v>
      </c>
      <c r="D54" s="192">
        <f>D47-D53</f>
        <v>0</v>
      </c>
      <c r="E54" s="193"/>
    </row>
    <row r="55" spans="1:7" ht="14.4" thickBot="1" x14ac:dyDescent="0.3"/>
    <row r="56" spans="1:7" ht="27.6" x14ac:dyDescent="0.25">
      <c r="A56" s="169"/>
      <c r="B56" s="170"/>
      <c r="C56" s="170"/>
      <c r="D56" s="170"/>
      <c r="E56" s="231" t="s">
        <v>203</v>
      </c>
      <c r="F56" s="232" t="s">
        <v>204</v>
      </c>
      <c r="G56" s="233"/>
    </row>
    <row r="57" spans="1:7" ht="27.6" x14ac:dyDescent="0.25">
      <c r="A57" s="171"/>
      <c r="B57" s="186"/>
      <c r="C57" s="256" t="s">
        <v>209</v>
      </c>
      <c r="D57" s="258" t="s">
        <v>210</v>
      </c>
      <c r="E57" s="234">
        <f>'Rozu iela'!M3</f>
        <v>29.902250657603229</v>
      </c>
      <c r="F57" s="235">
        <f>E57*1.21</f>
        <v>36.181723295699904</v>
      </c>
      <c r="G57" s="242" t="s">
        <v>201</v>
      </c>
    </row>
    <row r="58" spans="1:7" x14ac:dyDescent="0.25">
      <c r="A58" s="268" t="s">
        <v>313</v>
      </c>
      <c r="B58" s="256" t="s">
        <v>208</v>
      </c>
      <c r="C58" s="256"/>
      <c r="D58" s="258"/>
      <c r="E58" s="243">
        <f>F58/1.21</f>
        <v>0</v>
      </c>
      <c r="F58" s="244">
        <v>0</v>
      </c>
      <c r="G58" s="242" t="s">
        <v>200</v>
      </c>
    </row>
    <row r="59" spans="1:7" ht="33" thickBot="1" x14ac:dyDescent="0.4">
      <c r="A59" s="269"/>
      <c r="B59" s="257"/>
      <c r="C59" s="257"/>
      <c r="D59" s="259"/>
      <c r="E59" s="239">
        <f>F59/1.21</f>
        <v>58.930055332848063</v>
      </c>
      <c r="F59" s="240">
        <f>D60/D63</f>
        <v>71.305366952746155</v>
      </c>
      <c r="G59" s="241" t="s">
        <v>305</v>
      </c>
    </row>
    <row r="60" spans="1:7" ht="14.4" thickBot="1" x14ac:dyDescent="0.3">
      <c r="A60" s="78" t="s">
        <v>194</v>
      </c>
      <c r="B60" s="79">
        <f>'Rozu iela'!B3*12</f>
        <v>66741.823467770402</v>
      </c>
      <c r="C60" s="80">
        <f>B60</f>
        <v>66741.823467770402</v>
      </c>
      <c r="D60" s="81">
        <f>C60</f>
        <v>66741.823467770402</v>
      </c>
      <c r="E60" s="175"/>
    </row>
    <row r="61" spans="1:7" x14ac:dyDescent="0.25">
      <c r="A61" s="171"/>
      <c r="B61" s="172" t="s">
        <v>206</v>
      </c>
      <c r="C61" s="173" t="s">
        <v>196</v>
      </c>
      <c r="D61" s="174" t="s">
        <v>196</v>
      </c>
      <c r="E61" s="175" t="s">
        <v>202</v>
      </c>
    </row>
    <row r="62" spans="1:7" x14ac:dyDescent="0.25">
      <c r="A62" s="176" t="s">
        <v>195</v>
      </c>
      <c r="B62" s="177">
        <f>B63+B64+B65</f>
        <v>4016</v>
      </c>
      <c r="C62" s="177">
        <f>C63+C64+C65</f>
        <v>4016</v>
      </c>
      <c r="D62" s="177">
        <f>D63+D64+D65</f>
        <v>4016</v>
      </c>
      <c r="E62" s="180"/>
      <c r="F62" s="67"/>
      <c r="G62" s="227"/>
    </row>
    <row r="63" spans="1:7" ht="27.6" x14ac:dyDescent="0.25">
      <c r="A63" s="181" t="s">
        <v>322</v>
      </c>
      <c r="B63" s="182">
        <f>18*52</f>
        <v>936</v>
      </c>
      <c r="C63" s="183">
        <f t="shared" ref="C63:D65" si="6">B63</f>
        <v>936</v>
      </c>
      <c r="D63" s="184">
        <f t="shared" si="6"/>
        <v>936</v>
      </c>
      <c r="E63" s="185">
        <f>B63/(B62)</f>
        <v>0.23306772908366533</v>
      </c>
    </row>
    <row r="64" spans="1:7" ht="41.4" x14ac:dyDescent="0.25">
      <c r="A64" s="181" t="s">
        <v>320</v>
      </c>
      <c r="B64" s="186">
        <f>35*52</f>
        <v>1820</v>
      </c>
      <c r="C64" s="187">
        <f t="shared" si="6"/>
        <v>1820</v>
      </c>
      <c r="D64" s="188">
        <f t="shared" si="6"/>
        <v>1820</v>
      </c>
      <c r="E64" s="185">
        <f>B64/(B62)</f>
        <v>0.45318725099601592</v>
      </c>
    </row>
    <row r="65" spans="1:7" ht="28.2" thickBot="1" x14ac:dyDescent="0.3">
      <c r="A65" s="181" t="s">
        <v>319</v>
      </c>
      <c r="B65" s="186">
        <f>35*36</f>
        <v>1260</v>
      </c>
      <c r="C65" s="187">
        <f t="shared" si="6"/>
        <v>1260</v>
      </c>
      <c r="D65" s="188">
        <f t="shared" si="6"/>
        <v>1260</v>
      </c>
      <c r="E65" s="185">
        <f>B65/(B62)</f>
        <v>0.31374501992031872</v>
      </c>
    </row>
    <row r="66" spans="1:7" ht="14.4" thickBot="1" x14ac:dyDescent="0.3">
      <c r="A66" s="78" t="s">
        <v>197</v>
      </c>
      <c r="B66" s="82">
        <f>B63*F57</f>
        <v>33866.09300477511</v>
      </c>
      <c r="C66" s="83">
        <f>C63*F58</f>
        <v>0</v>
      </c>
      <c r="D66" s="84">
        <f>D63*F59</f>
        <v>66741.823467770402</v>
      </c>
      <c r="E66" s="180"/>
      <c r="F66" s="67"/>
    </row>
    <row r="67" spans="1:7" ht="14.4" thickBot="1" x14ac:dyDescent="0.3">
      <c r="A67" s="189" t="s">
        <v>198</v>
      </c>
      <c r="B67" s="190">
        <f>B60-B66</f>
        <v>32875.730462995292</v>
      </c>
      <c r="C67" s="225">
        <f>C60-C66</f>
        <v>66741.823467770402</v>
      </c>
      <c r="D67" s="192">
        <f>D60-D66</f>
        <v>0</v>
      </c>
      <c r="E67" s="193"/>
    </row>
    <row r="68" spans="1:7" ht="14.4" thickBot="1" x14ac:dyDescent="0.3"/>
    <row r="69" spans="1:7" ht="27.6" x14ac:dyDescent="0.25">
      <c r="A69" s="169"/>
      <c r="B69" s="170"/>
      <c r="C69" s="170"/>
      <c r="D69" s="170"/>
      <c r="E69" s="231" t="s">
        <v>203</v>
      </c>
      <c r="F69" s="232" t="s">
        <v>204</v>
      </c>
      <c r="G69" s="233"/>
    </row>
    <row r="70" spans="1:7" ht="27.6" x14ac:dyDescent="0.25">
      <c r="A70" s="171"/>
      <c r="B70" s="186"/>
      <c r="C70" s="256" t="s">
        <v>209</v>
      </c>
      <c r="D70" s="258" t="s">
        <v>210</v>
      </c>
      <c r="E70" s="234">
        <f>'Dabīgais futbola laukums Ca'!M3</f>
        <v>39.178762999297</v>
      </c>
      <c r="F70" s="235">
        <f>E70*1.21</f>
        <v>47.406303229149366</v>
      </c>
      <c r="G70" s="242" t="s">
        <v>201</v>
      </c>
    </row>
    <row r="71" spans="1:7" x14ac:dyDescent="0.25">
      <c r="A71" s="268" t="s">
        <v>314</v>
      </c>
      <c r="B71" s="256" t="s">
        <v>208</v>
      </c>
      <c r="C71" s="256"/>
      <c r="D71" s="258"/>
      <c r="E71" s="243">
        <f>F71/1.21</f>
        <v>16.528925619834713</v>
      </c>
      <c r="F71" s="244">
        <v>20</v>
      </c>
      <c r="G71" s="242" t="s">
        <v>200</v>
      </c>
    </row>
    <row r="72" spans="1:7" ht="33" thickBot="1" x14ac:dyDescent="0.4">
      <c r="A72" s="269"/>
      <c r="B72" s="257"/>
      <c r="C72" s="257"/>
      <c r="D72" s="259"/>
      <c r="E72" s="239">
        <f>F72/1.21</f>
        <v>75.914125125382753</v>
      </c>
      <c r="F72" s="240">
        <f>D73/D76</f>
        <v>91.85609140171313</v>
      </c>
      <c r="G72" s="241" t="s">
        <v>305</v>
      </c>
    </row>
    <row r="73" spans="1:7" ht="14.4" thickBot="1" x14ac:dyDescent="0.3">
      <c r="A73" s="78" t="s">
        <v>194</v>
      </c>
      <c r="B73" s="79">
        <f>'Dabīgais futbola laukums Ca'!B3*12</f>
        <v>87446.999014430898</v>
      </c>
      <c r="C73" s="80">
        <f>B73</f>
        <v>87446.999014430898</v>
      </c>
      <c r="D73" s="81">
        <f>C73</f>
        <v>87446.999014430898</v>
      </c>
      <c r="E73" s="175"/>
    </row>
    <row r="74" spans="1:7" x14ac:dyDescent="0.25">
      <c r="A74" s="171"/>
      <c r="B74" s="172" t="s">
        <v>206</v>
      </c>
      <c r="C74" s="173" t="s">
        <v>196</v>
      </c>
      <c r="D74" s="174" t="s">
        <v>196</v>
      </c>
      <c r="E74" s="175" t="s">
        <v>202</v>
      </c>
    </row>
    <row r="75" spans="1:7" x14ac:dyDescent="0.25">
      <c r="A75" s="176" t="s">
        <v>195</v>
      </c>
      <c r="B75" s="177">
        <f>B76+B77+B78</f>
        <v>3192</v>
      </c>
      <c r="C75" s="177">
        <f>C76+C77+C78</f>
        <v>3192</v>
      </c>
      <c r="D75" s="177">
        <f>D76+D77+D78</f>
        <v>3192</v>
      </c>
      <c r="E75" s="180"/>
      <c r="F75" s="67"/>
      <c r="G75" s="227"/>
    </row>
    <row r="76" spans="1:7" ht="27.6" x14ac:dyDescent="0.25">
      <c r="A76" s="181" t="s">
        <v>321</v>
      </c>
      <c r="B76" s="182">
        <f>34*28</f>
        <v>952</v>
      </c>
      <c r="C76" s="183">
        <f t="shared" ref="C76:C78" si="7">B76</f>
        <v>952</v>
      </c>
      <c r="D76" s="184">
        <f t="shared" ref="D76:D78" si="8">C76</f>
        <v>952</v>
      </c>
      <c r="E76" s="185">
        <f>B76/(B75)</f>
        <v>0.2982456140350877</v>
      </c>
    </row>
    <row r="77" spans="1:7" ht="41.4" x14ac:dyDescent="0.25">
      <c r="A77" s="181" t="s">
        <v>320</v>
      </c>
      <c r="B77" s="186">
        <f>35*28</f>
        <v>980</v>
      </c>
      <c r="C77" s="187">
        <f t="shared" si="7"/>
        <v>980</v>
      </c>
      <c r="D77" s="188">
        <f t="shared" si="8"/>
        <v>980</v>
      </c>
      <c r="E77" s="185">
        <f>B77/(B75)</f>
        <v>0.30701754385964913</v>
      </c>
    </row>
    <row r="78" spans="1:7" ht="28.2" thickBot="1" x14ac:dyDescent="0.3">
      <c r="A78" s="181" t="s">
        <v>319</v>
      </c>
      <c r="B78" s="186">
        <f>35*36</f>
        <v>1260</v>
      </c>
      <c r="C78" s="187">
        <f t="shared" si="7"/>
        <v>1260</v>
      </c>
      <c r="D78" s="188">
        <f t="shared" si="8"/>
        <v>1260</v>
      </c>
      <c r="E78" s="185">
        <f>B78/(B75)</f>
        <v>0.39473684210526316</v>
      </c>
    </row>
    <row r="79" spans="1:7" ht="14.4" thickBot="1" x14ac:dyDescent="0.3">
      <c r="A79" s="78" t="s">
        <v>197</v>
      </c>
      <c r="B79" s="82">
        <f>B76*F70</f>
        <v>45130.800674150196</v>
      </c>
      <c r="C79" s="83">
        <f>C76*F71</f>
        <v>19040</v>
      </c>
      <c r="D79" s="84">
        <f>D76*F72</f>
        <v>87446.999014430898</v>
      </c>
      <c r="E79" s="180"/>
      <c r="F79" s="67"/>
    </row>
    <row r="80" spans="1:7" ht="14.4" thickBot="1" x14ac:dyDescent="0.3">
      <c r="A80" s="189" t="s">
        <v>198</v>
      </c>
      <c r="B80" s="190">
        <f>B73-B79</f>
        <v>42316.198340280702</v>
      </c>
      <c r="C80" s="225">
        <f>C73-C79</f>
        <v>68406.999014430898</v>
      </c>
      <c r="D80" s="192">
        <f>D73-D79</f>
        <v>0</v>
      </c>
      <c r="E80" s="193"/>
    </row>
    <row r="81" spans="1:7" ht="14.4" thickBot="1" x14ac:dyDescent="0.3"/>
    <row r="82" spans="1:7" ht="27.6" x14ac:dyDescent="0.25">
      <c r="A82" s="169"/>
      <c r="B82" s="170"/>
      <c r="C82" s="170"/>
      <c r="D82" s="170"/>
      <c r="E82" s="231" t="s">
        <v>203</v>
      </c>
      <c r="F82" s="232" t="s">
        <v>204</v>
      </c>
      <c r="G82" s="233"/>
    </row>
    <row r="83" spans="1:7" ht="28.8" x14ac:dyDescent="0.3">
      <c r="A83" s="171"/>
      <c r="B83" s="186"/>
      <c r="C83" s="256" t="s">
        <v>209</v>
      </c>
      <c r="D83" s="258" t="s">
        <v>210</v>
      </c>
      <c r="E83" s="234">
        <f>'Ādažu futbola laukums'!M3</f>
        <v>31.909311803124641</v>
      </c>
      <c r="F83" s="235">
        <f>E83*1.21</f>
        <v>38.610267281780814</v>
      </c>
      <c r="G83" s="236" t="s">
        <v>201</v>
      </c>
    </row>
    <row r="84" spans="1:7" ht="14.4" x14ac:dyDescent="0.3">
      <c r="A84" s="266" t="s">
        <v>315</v>
      </c>
      <c r="B84" s="256" t="s">
        <v>208</v>
      </c>
      <c r="C84" s="256"/>
      <c r="D84" s="258"/>
      <c r="E84" s="237">
        <f>F84/1.21</f>
        <v>33.057851239669425</v>
      </c>
      <c r="F84" s="238">
        <v>40</v>
      </c>
      <c r="G84" s="236" t="s">
        <v>200</v>
      </c>
    </row>
    <row r="85" spans="1:7" ht="33" thickBot="1" x14ac:dyDescent="0.4">
      <c r="A85" s="267"/>
      <c r="B85" s="257"/>
      <c r="C85" s="257"/>
      <c r="D85" s="259"/>
      <c r="E85" s="239">
        <f>F85/1.21</f>
        <v>72.133349482027029</v>
      </c>
      <c r="F85" s="240">
        <f>D86/D89</f>
        <v>87.2813528732527</v>
      </c>
      <c r="G85" s="241" t="s">
        <v>305</v>
      </c>
    </row>
    <row r="86" spans="1:7" ht="14.4" thickBot="1" x14ac:dyDescent="0.3">
      <c r="A86" s="78" t="s">
        <v>194</v>
      </c>
      <c r="B86" s="79">
        <f>'Ādažu futbola laukums'!B3*12</f>
        <v>71221.583944574202</v>
      </c>
      <c r="C86" s="80">
        <f>B86</f>
        <v>71221.583944574202</v>
      </c>
      <c r="D86" s="81">
        <f>C86</f>
        <v>71221.583944574202</v>
      </c>
      <c r="E86" s="175"/>
    </row>
    <row r="87" spans="1:7" x14ac:dyDescent="0.25">
      <c r="A87" s="171"/>
      <c r="B87" s="172" t="s">
        <v>206</v>
      </c>
      <c r="C87" s="173" t="s">
        <v>196</v>
      </c>
      <c r="D87" s="174" t="s">
        <v>196</v>
      </c>
      <c r="E87" s="175" t="s">
        <v>202</v>
      </c>
    </row>
    <row r="88" spans="1:7" x14ac:dyDescent="0.25">
      <c r="A88" s="176" t="s">
        <v>195</v>
      </c>
      <c r="B88" s="177">
        <f>B89+B90+B91</f>
        <v>1992</v>
      </c>
      <c r="C88" s="177">
        <f>C89+C90+C91</f>
        <v>1992</v>
      </c>
      <c r="D88" s="177">
        <f>D89+D90+D91</f>
        <v>1992</v>
      </c>
      <c r="E88" s="180"/>
      <c r="F88" s="67"/>
      <c r="G88" s="227"/>
    </row>
    <row r="89" spans="1:7" ht="27.6" x14ac:dyDescent="0.25">
      <c r="A89" s="181" t="s">
        <v>323</v>
      </c>
      <c r="B89" s="182">
        <f>34*24</f>
        <v>816</v>
      </c>
      <c r="C89" s="183">
        <f t="shared" ref="C89:C91" si="9">B89</f>
        <v>816</v>
      </c>
      <c r="D89" s="184">
        <f t="shared" ref="D89:D91" si="10">C89</f>
        <v>816</v>
      </c>
      <c r="E89" s="185">
        <f>B89/(B88)</f>
        <v>0.40963855421686746</v>
      </c>
    </row>
    <row r="90" spans="1:7" ht="27.6" x14ac:dyDescent="0.25">
      <c r="A90" s="181" t="s">
        <v>324</v>
      </c>
      <c r="B90" s="186">
        <f>12*28</f>
        <v>336</v>
      </c>
      <c r="C90" s="187">
        <f t="shared" si="9"/>
        <v>336</v>
      </c>
      <c r="D90" s="188">
        <f t="shared" si="10"/>
        <v>336</v>
      </c>
      <c r="E90" s="185">
        <f>B90/(B88)</f>
        <v>0.16867469879518071</v>
      </c>
    </row>
    <row r="91" spans="1:7" ht="28.2" thickBot="1" x14ac:dyDescent="0.3">
      <c r="A91" s="181" t="s">
        <v>318</v>
      </c>
      <c r="B91" s="186">
        <f>35*24</f>
        <v>840</v>
      </c>
      <c r="C91" s="187">
        <f t="shared" si="9"/>
        <v>840</v>
      </c>
      <c r="D91" s="188">
        <f t="shared" si="10"/>
        <v>840</v>
      </c>
      <c r="E91" s="185">
        <f>B91/(B88)</f>
        <v>0.42168674698795183</v>
      </c>
    </row>
    <row r="92" spans="1:7" ht="14.4" thickBot="1" x14ac:dyDescent="0.3">
      <c r="A92" s="78" t="s">
        <v>197</v>
      </c>
      <c r="B92" s="82">
        <f>B89*F83</f>
        <v>31505.978101933146</v>
      </c>
      <c r="C92" s="83">
        <f>C89*F84</f>
        <v>32640</v>
      </c>
      <c r="D92" s="84">
        <f>D89*F85</f>
        <v>71221.583944574202</v>
      </c>
      <c r="E92" s="180"/>
      <c r="F92" s="67"/>
    </row>
    <row r="93" spans="1:7" ht="14.4" thickBot="1" x14ac:dyDescent="0.3">
      <c r="A93" s="189" t="s">
        <v>198</v>
      </c>
      <c r="B93" s="190">
        <f>B86-B92</f>
        <v>39715.60584264106</v>
      </c>
      <c r="C93" s="225">
        <f>C86-C92</f>
        <v>38581.583944574202</v>
      </c>
      <c r="D93" s="192">
        <f>D86-D92</f>
        <v>0</v>
      </c>
      <c r="E93" s="193"/>
    </row>
  </sheetData>
  <mergeCells count="28">
    <mergeCell ref="A84:A85"/>
    <mergeCell ref="A58:A59"/>
    <mergeCell ref="A71:A72"/>
    <mergeCell ref="A4:A5"/>
    <mergeCell ref="A18:A19"/>
    <mergeCell ref="A32:A33"/>
    <mergeCell ref="A45:A46"/>
    <mergeCell ref="B4:B5"/>
    <mergeCell ref="C3:C5"/>
    <mergeCell ref="D2:D5"/>
    <mergeCell ref="C57:C59"/>
    <mergeCell ref="D57:D59"/>
    <mergeCell ref="B58:B59"/>
    <mergeCell ref="C44:C46"/>
    <mergeCell ref="D44:D46"/>
    <mergeCell ref="B45:B46"/>
    <mergeCell ref="C17:C19"/>
    <mergeCell ref="D17:D19"/>
    <mergeCell ref="B18:B19"/>
    <mergeCell ref="C31:C33"/>
    <mergeCell ref="D31:D33"/>
    <mergeCell ref="B32:B33"/>
    <mergeCell ref="C70:C72"/>
    <mergeCell ref="D70:D72"/>
    <mergeCell ref="B71:B72"/>
    <mergeCell ref="C83:C85"/>
    <mergeCell ref="D83:D85"/>
    <mergeCell ref="B84:B85"/>
  </mergeCells>
  <pageMargins left="0.7" right="0.7" top="0.75" bottom="0.75" header="0.3" footer="0.3"/>
  <pageSetup paperSize="9" scale="95" orientation="landscape" r:id="rId1"/>
  <rowBreaks count="1" manualBreakCount="1">
    <brk id="16" max="6"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6"/>
  <sheetViews>
    <sheetView zoomScale="70" zoomScaleNormal="70" workbookViewId="0">
      <selection activeCell="H61" sqref="H61"/>
    </sheetView>
  </sheetViews>
  <sheetFormatPr defaultRowHeight="14.4" x14ac:dyDescent="0.3"/>
  <cols>
    <col min="1" max="1" width="14.88671875" customWidth="1"/>
    <col min="2" max="2" width="12.88671875" bestFit="1" customWidth="1"/>
    <col min="3" max="3" width="10.44140625" bestFit="1" customWidth="1"/>
    <col min="4" max="4" width="26.6640625" customWidth="1"/>
    <col min="11" max="11" width="12.6640625" customWidth="1"/>
    <col min="12" max="12" width="9.33203125" bestFit="1" customWidth="1"/>
    <col min="13" max="13" width="17" customWidth="1"/>
    <col min="18" max="18" width="10.6640625" customWidth="1"/>
  </cols>
  <sheetData>
    <row r="1" spans="1:14" x14ac:dyDescent="0.3">
      <c r="A1" s="1" t="s">
        <v>0</v>
      </c>
    </row>
    <row r="2" spans="1:14" x14ac:dyDescent="0.3">
      <c r="A2" s="147" t="s">
        <v>309</v>
      </c>
      <c r="C2" s="2"/>
      <c r="D2" s="2"/>
      <c r="E2" s="2"/>
      <c r="K2" s="35" t="s">
        <v>58</v>
      </c>
      <c r="L2" s="35" t="s">
        <v>59</v>
      </c>
      <c r="M2" s="35" t="s">
        <v>296</v>
      </c>
    </row>
    <row r="3" spans="1:14" ht="15" thickBot="1" x14ac:dyDescent="0.35">
      <c r="B3" s="3">
        <f>((A12/B6+B10)*B8)/12</f>
        <v>5023.6795631047862</v>
      </c>
      <c r="C3" s="4" t="s">
        <v>1</v>
      </c>
      <c r="D3" s="5" t="s">
        <v>2</v>
      </c>
      <c r="E3" s="278" t="s">
        <v>3</v>
      </c>
      <c r="H3" s="6" t="s">
        <v>4</v>
      </c>
      <c r="I3" s="7">
        <f>B3/B8</f>
        <v>4.7126449935316943</v>
      </c>
      <c r="K3" s="36">
        <f>I3*B8</f>
        <v>5023.6795631047862</v>
      </c>
      <c r="L3" s="36">
        <f>K3/30</f>
        <v>167.45598543682621</v>
      </c>
      <c r="M3" s="36">
        <f>L3/6.5</f>
        <v>25.762459297973262</v>
      </c>
      <c r="N3" s="96" t="s">
        <v>236</v>
      </c>
    </row>
    <row r="4" spans="1:14" x14ac:dyDescent="0.3">
      <c r="B4" s="6" t="s">
        <v>5</v>
      </c>
      <c r="C4" s="4"/>
      <c r="D4" s="9">
        <v>12</v>
      </c>
      <c r="E4" s="278"/>
      <c r="H4" s="6" t="s">
        <v>6</v>
      </c>
      <c r="I4" s="10">
        <f>I3*1.21</f>
        <v>5.7023004421733496</v>
      </c>
      <c r="K4" s="36">
        <f>I4*B8</f>
        <v>6078.6522713567911</v>
      </c>
      <c r="L4" s="36">
        <f>L3*1.21</f>
        <v>202.6217423785597</v>
      </c>
      <c r="M4" s="36">
        <f>M3*1.21</f>
        <v>31.172575750547647</v>
      </c>
    </row>
    <row r="5" spans="1:14" x14ac:dyDescent="0.3">
      <c r="C5" s="2"/>
      <c r="D5" s="2"/>
      <c r="E5" s="2"/>
      <c r="K5" s="37"/>
    </row>
    <row r="6" spans="1:14" x14ac:dyDescent="0.3">
      <c r="B6" s="29">
        <v>3865</v>
      </c>
      <c r="C6" t="s">
        <v>7</v>
      </c>
      <c r="D6" s="12" t="s">
        <v>8</v>
      </c>
    </row>
    <row r="7" spans="1:14" ht="4.5" customHeight="1" x14ac:dyDescent="0.3">
      <c r="B7" s="8"/>
      <c r="D7" s="12"/>
    </row>
    <row r="8" spans="1:14" x14ac:dyDescent="0.3">
      <c r="A8" s="13">
        <f>B8/B6</f>
        <v>0.27580853816300127</v>
      </c>
      <c r="B8" s="11">
        <v>1066</v>
      </c>
      <c r="C8" t="s">
        <v>9</v>
      </c>
      <c r="D8" s="14" t="s">
        <v>10</v>
      </c>
      <c r="E8" s="14"/>
    </row>
    <row r="9" spans="1:14" ht="5.25" customHeight="1" x14ac:dyDescent="0.3">
      <c r="B9" s="8"/>
      <c r="D9" s="12"/>
    </row>
    <row r="10" spans="1:14" x14ac:dyDescent="0.3">
      <c r="B10" s="11">
        <f>A44</f>
        <v>21.158565278137129</v>
      </c>
      <c r="C10" t="s">
        <v>11</v>
      </c>
      <c r="D10" s="14" t="s">
        <v>12</v>
      </c>
    </row>
    <row r="11" spans="1:14" ht="6.75" customHeight="1" x14ac:dyDescent="0.3">
      <c r="C11" s="14"/>
    </row>
    <row r="12" spans="1:14" x14ac:dyDescent="0.3">
      <c r="A12" s="11">
        <f>B21+B26+B28+B30+B32+B33+B34+B35/B41</f>
        <v>136794.61999999997</v>
      </c>
      <c r="B12" t="s">
        <v>13</v>
      </c>
      <c r="C12" t="s">
        <v>14</v>
      </c>
    </row>
    <row r="14" spans="1:14" x14ac:dyDescent="0.3">
      <c r="D14" s="12" t="s">
        <v>15</v>
      </c>
    </row>
    <row r="15" spans="1:14" x14ac:dyDescent="0.3">
      <c r="D15" s="15"/>
    </row>
    <row r="16" spans="1:14" x14ac:dyDescent="0.3">
      <c r="D16" s="16" t="s">
        <v>273</v>
      </c>
    </row>
    <row r="17" spans="1:18" x14ac:dyDescent="0.3">
      <c r="D17" s="17"/>
    </row>
    <row r="18" spans="1:18" x14ac:dyDescent="0.3">
      <c r="D18" s="18" t="s">
        <v>16</v>
      </c>
    </row>
    <row r="21" spans="1:18" ht="15.75" customHeight="1" x14ac:dyDescent="0.3">
      <c r="B21" s="11">
        <f>C71</f>
        <v>105240.43999999999</v>
      </c>
      <c r="C21" t="s">
        <v>17</v>
      </c>
      <c r="D21" s="277" t="s">
        <v>243</v>
      </c>
      <c r="E21" s="277"/>
      <c r="F21" s="277"/>
      <c r="G21" s="277"/>
      <c r="H21" s="277"/>
      <c r="I21" s="277"/>
      <c r="J21" s="277"/>
      <c r="K21" s="277"/>
      <c r="L21" s="277"/>
      <c r="M21" s="277"/>
      <c r="N21" s="277"/>
      <c r="O21" s="277"/>
      <c r="P21" s="277"/>
      <c r="Q21" s="277"/>
      <c r="R21" s="277"/>
    </row>
    <row r="22" spans="1:18" ht="15.75" customHeight="1" x14ac:dyDescent="0.3">
      <c r="B22" s="11"/>
      <c r="D22" s="277" t="s">
        <v>244</v>
      </c>
      <c r="E22" s="277"/>
      <c r="F22" s="277"/>
      <c r="G22" s="277"/>
      <c r="H22" s="277"/>
      <c r="I22" s="277"/>
      <c r="J22" s="277"/>
      <c r="K22" s="277"/>
      <c r="L22" s="277"/>
      <c r="M22" s="277"/>
      <c r="N22" s="277"/>
      <c r="O22" s="277"/>
      <c r="P22" s="277"/>
      <c r="Q22" s="277"/>
      <c r="R22" s="277"/>
    </row>
    <row r="23" spans="1:18" ht="15.75" customHeight="1" x14ac:dyDescent="0.3">
      <c r="A23" s="35"/>
      <c r="B23" s="11"/>
      <c r="D23" s="277" t="s">
        <v>245</v>
      </c>
      <c r="E23" s="277"/>
      <c r="F23" s="277"/>
      <c r="G23" s="277"/>
      <c r="H23" s="277"/>
      <c r="I23" s="277"/>
      <c r="J23" s="277"/>
      <c r="K23" s="277"/>
      <c r="L23" s="277"/>
      <c r="M23" s="277"/>
      <c r="N23" s="277"/>
      <c r="O23" s="277"/>
      <c r="P23" s="277"/>
      <c r="Q23" s="277"/>
      <c r="R23" s="277"/>
    </row>
    <row r="24" spans="1:18" ht="15.75" customHeight="1" x14ac:dyDescent="0.3">
      <c r="A24" s="35" t="s">
        <v>17</v>
      </c>
      <c r="B24" s="11"/>
      <c r="D24" s="277" t="s">
        <v>246</v>
      </c>
      <c r="E24" s="277"/>
      <c r="F24" s="277"/>
      <c r="G24" s="277"/>
      <c r="H24" s="277"/>
      <c r="I24" s="277"/>
      <c r="J24" s="277"/>
      <c r="K24" s="277"/>
      <c r="L24" s="277"/>
      <c r="M24" s="277"/>
      <c r="N24" s="277"/>
      <c r="O24" s="277"/>
      <c r="P24" s="277"/>
      <c r="Q24" s="277"/>
      <c r="R24" s="277"/>
    </row>
    <row r="25" spans="1:18" x14ac:dyDescent="0.3">
      <c r="B25" s="11"/>
      <c r="D25" s="277" t="s">
        <v>247</v>
      </c>
      <c r="E25" s="277"/>
      <c r="F25" s="277"/>
      <c r="G25" s="277"/>
      <c r="H25" s="277"/>
      <c r="I25" s="277"/>
      <c r="J25" s="277"/>
      <c r="K25" s="277"/>
      <c r="L25" s="277"/>
      <c r="M25" s="277"/>
      <c r="N25" s="277"/>
      <c r="O25" s="277"/>
      <c r="P25" s="277"/>
      <c r="Q25" s="277"/>
      <c r="R25" s="277"/>
    </row>
    <row r="26" spans="1:18" x14ac:dyDescent="0.3">
      <c r="B26" s="11">
        <f>C74</f>
        <v>24569.819999999996</v>
      </c>
      <c r="C26" t="s">
        <v>18</v>
      </c>
      <c r="D26" s="277" t="s">
        <v>248</v>
      </c>
      <c r="E26" s="277"/>
      <c r="F26" s="277"/>
      <c r="G26" s="277"/>
      <c r="H26" s="277"/>
      <c r="I26" s="277"/>
      <c r="J26" s="277"/>
      <c r="K26" s="277"/>
      <c r="L26" s="277"/>
      <c r="M26" s="277"/>
      <c r="N26" s="277"/>
      <c r="O26" s="277"/>
      <c r="P26" s="277"/>
      <c r="Q26" s="277"/>
      <c r="R26" s="277"/>
    </row>
    <row r="27" spans="1:18" x14ac:dyDescent="0.3">
      <c r="B27" s="8"/>
      <c r="D27" t="s">
        <v>249</v>
      </c>
    </row>
    <row r="28" spans="1:18" x14ac:dyDescent="0.3">
      <c r="A28" s="88"/>
      <c r="B28" s="11">
        <f>Tame!B103</f>
        <v>6984.36</v>
      </c>
      <c r="C28" t="s">
        <v>19</v>
      </c>
      <c r="D28" s="277" t="s">
        <v>250</v>
      </c>
      <c r="E28" s="277"/>
      <c r="F28" s="277"/>
      <c r="G28" s="277"/>
      <c r="H28" s="277"/>
      <c r="I28" s="277"/>
      <c r="J28" s="277"/>
      <c r="K28" s="277"/>
      <c r="L28" s="277"/>
      <c r="M28" s="277"/>
      <c r="N28" s="277"/>
      <c r="O28" s="277"/>
      <c r="P28" s="277"/>
      <c r="Q28" s="277"/>
      <c r="R28" s="277"/>
    </row>
    <row r="29" spans="1:18" x14ac:dyDescent="0.3">
      <c r="B29" s="8"/>
      <c r="D29" t="s">
        <v>251</v>
      </c>
    </row>
    <row r="30" spans="1:18" x14ac:dyDescent="0.3">
      <c r="B30" s="11">
        <f>Tame!C83</f>
        <v>0</v>
      </c>
      <c r="C30" t="s">
        <v>20</v>
      </c>
      <c r="D30" t="s">
        <v>21</v>
      </c>
    </row>
    <row r="31" spans="1:18" x14ac:dyDescent="0.3">
      <c r="B31" s="8"/>
      <c r="D31" t="s">
        <v>22</v>
      </c>
    </row>
    <row r="32" spans="1:18" x14ac:dyDescent="0.3">
      <c r="B32" s="11">
        <f>Tame!C55</f>
        <v>0</v>
      </c>
      <c r="C32" t="s">
        <v>23</v>
      </c>
      <c r="D32" t="s">
        <v>24</v>
      </c>
    </row>
    <row r="33" spans="1:18" x14ac:dyDescent="0.3">
      <c r="B33" s="11">
        <v>0</v>
      </c>
      <c r="C33" t="s">
        <v>25</v>
      </c>
      <c r="D33" t="s">
        <v>26</v>
      </c>
    </row>
    <row r="34" spans="1:18" x14ac:dyDescent="0.3">
      <c r="B34" s="11"/>
      <c r="C34" t="s">
        <v>27</v>
      </c>
      <c r="D34" t="s">
        <v>28</v>
      </c>
    </row>
    <row r="35" spans="1:18" ht="17.25" customHeight="1" x14ac:dyDescent="0.3">
      <c r="B35" s="11">
        <v>0</v>
      </c>
      <c r="C35" t="s">
        <v>252</v>
      </c>
      <c r="D35" s="277" t="s">
        <v>253</v>
      </c>
      <c r="E35" s="277"/>
      <c r="F35" s="277"/>
      <c r="G35" s="277"/>
      <c r="H35" s="277"/>
      <c r="I35" s="277"/>
      <c r="J35" s="277"/>
      <c r="K35" s="277"/>
      <c r="L35" s="277"/>
      <c r="M35" s="277"/>
      <c r="N35" s="277"/>
      <c r="O35" s="277"/>
      <c r="P35" s="277"/>
      <c r="Q35" s="277"/>
      <c r="R35" s="277"/>
    </row>
    <row r="36" spans="1:18" ht="17.25" customHeight="1" x14ac:dyDescent="0.3">
      <c r="B36" s="11"/>
      <c r="D36" s="277" t="s">
        <v>254</v>
      </c>
      <c r="E36" s="277"/>
      <c r="F36" s="277"/>
      <c r="G36" s="277"/>
      <c r="H36" s="277"/>
      <c r="I36" s="277"/>
      <c r="J36" s="277"/>
      <c r="K36" s="277"/>
      <c r="L36" s="277"/>
      <c r="M36" s="277"/>
      <c r="N36" s="277"/>
      <c r="O36" s="277"/>
      <c r="P36" s="277"/>
      <c r="Q36" s="277"/>
      <c r="R36" s="277"/>
    </row>
    <row r="37" spans="1:18" ht="17.25" customHeight="1" x14ac:dyDescent="0.3">
      <c r="B37" s="11"/>
      <c r="D37" s="277" t="s">
        <v>255</v>
      </c>
      <c r="E37" s="277"/>
      <c r="F37" s="277"/>
      <c r="G37" s="277"/>
      <c r="H37" s="277"/>
      <c r="I37" s="277"/>
      <c r="J37" s="277"/>
      <c r="K37" s="277"/>
      <c r="L37" s="277"/>
      <c r="M37" s="277"/>
      <c r="N37" s="277"/>
      <c r="O37" s="277"/>
      <c r="P37" s="277"/>
      <c r="Q37" s="277"/>
      <c r="R37" s="277"/>
    </row>
    <row r="38" spans="1:18" ht="18.75" customHeight="1" x14ac:dyDescent="0.3">
      <c r="B38" s="11"/>
      <c r="D38" s="277" t="s">
        <v>256</v>
      </c>
      <c r="E38" s="277"/>
      <c r="F38" s="277"/>
      <c r="G38" s="277"/>
      <c r="H38" s="277"/>
      <c r="I38" s="277"/>
      <c r="J38" s="277"/>
      <c r="K38" s="277"/>
      <c r="L38" s="277"/>
      <c r="M38" s="277"/>
      <c r="N38" s="277"/>
      <c r="O38" s="277"/>
      <c r="P38" s="277"/>
      <c r="Q38" s="277"/>
      <c r="R38" s="277"/>
    </row>
    <row r="39" spans="1:18" ht="18.75" customHeight="1" x14ac:dyDescent="0.3">
      <c r="B39" s="11"/>
      <c r="D39" s="277" t="s">
        <v>257</v>
      </c>
      <c r="E39" s="277"/>
      <c r="F39" s="277"/>
      <c r="G39" s="277"/>
      <c r="H39" s="277"/>
      <c r="I39" s="277"/>
      <c r="J39" s="277"/>
      <c r="K39" s="277"/>
      <c r="L39" s="277"/>
      <c r="M39" s="277"/>
      <c r="N39" s="277"/>
      <c r="O39" s="277"/>
      <c r="P39" s="277"/>
      <c r="Q39" s="277"/>
      <c r="R39" s="277"/>
    </row>
    <row r="40" spans="1:18" x14ac:dyDescent="0.3">
      <c r="B40" s="11"/>
      <c r="D40" s="277" t="s">
        <v>258</v>
      </c>
      <c r="E40" s="277"/>
      <c r="F40" s="277"/>
      <c r="G40" s="277"/>
      <c r="H40" s="277"/>
      <c r="I40" s="277"/>
      <c r="J40" s="277"/>
      <c r="K40" s="277"/>
      <c r="L40" s="277"/>
      <c r="M40" s="277"/>
      <c r="N40" s="277"/>
      <c r="O40" s="277"/>
      <c r="P40" s="277"/>
      <c r="Q40" s="277"/>
      <c r="R40" s="277"/>
    </row>
    <row r="41" spans="1:18" x14ac:dyDescent="0.3">
      <c r="B41" s="11">
        <v>1</v>
      </c>
      <c r="C41" t="s">
        <v>259</v>
      </c>
      <c r="D41" s="277" t="s">
        <v>260</v>
      </c>
      <c r="E41" s="277"/>
      <c r="F41" s="277"/>
      <c r="G41" s="277"/>
      <c r="H41" s="277"/>
      <c r="I41" s="277"/>
      <c r="J41" s="277"/>
      <c r="K41" s="277"/>
      <c r="L41" s="277"/>
      <c r="M41" s="277"/>
      <c r="N41" s="277"/>
      <c r="O41" s="277"/>
      <c r="P41" s="277"/>
      <c r="Q41" s="277"/>
      <c r="R41" s="277"/>
    </row>
    <row r="42" spans="1:18" x14ac:dyDescent="0.3">
      <c r="B42" s="11"/>
      <c r="D42" s="102" t="s">
        <v>261</v>
      </c>
      <c r="E42" s="102"/>
      <c r="F42" s="102"/>
      <c r="G42" s="102"/>
      <c r="H42" s="102"/>
      <c r="I42" s="102"/>
      <c r="J42" s="102"/>
      <c r="K42" s="102"/>
      <c r="L42" s="102"/>
      <c r="M42" s="102"/>
      <c r="N42" s="102"/>
      <c r="O42" s="102"/>
      <c r="P42" s="102"/>
      <c r="Q42" s="102"/>
      <c r="R42" s="102"/>
    </row>
    <row r="44" spans="1:18" ht="30" customHeight="1" x14ac:dyDescent="0.3">
      <c r="A44" s="19">
        <f>B50*B52/B54</f>
        <v>21.158565278137129</v>
      </c>
      <c r="B44" t="s">
        <v>11</v>
      </c>
      <c r="C44" s="279" t="s">
        <v>29</v>
      </c>
      <c r="D44" s="279"/>
      <c r="E44" s="279"/>
      <c r="F44" s="279"/>
      <c r="G44" s="279"/>
      <c r="H44" s="279"/>
      <c r="I44" s="279"/>
      <c r="J44" s="279"/>
      <c r="K44" s="279"/>
      <c r="L44" s="279"/>
      <c r="M44" s="279"/>
      <c r="N44" s="279"/>
      <c r="O44" s="279"/>
      <c r="P44" s="279"/>
      <c r="Q44" s="279"/>
    </row>
    <row r="46" spans="1:18" x14ac:dyDescent="0.3">
      <c r="E46" s="20" t="s">
        <v>30</v>
      </c>
    </row>
    <row r="48" spans="1:18" x14ac:dyDescent="0.3">
      <c r="E48" s="20" t="s">
        <v>31</v>
      </c>
    </row>
    <row r="50" spans="2:17" ht="46.5" customHeight="1" x14ac:dyDescent="0.3">
      <c r="B50" s="21">
        <f>C86</f>
        <v>81777.854800000001</v>
      </c>
      <c r="C50" t="s">
        <v>32</v>
      </c>
      <c r="D50" s="279" t="s">
        <v>33</v>
      </c>
      <c r="E50" s="279"/>
      <c r="F50" s="279"/>
      <c r="G50" s="279"/>
      <c r="H50" s="279"/>
      <c r="I50" s="279"/>
      <c r="J50" s="279"/>
      <c r="K50" s="279"/>
      <c r="L50" s="279"/>
      <c r="M50" s="279"/>
      <c r="N50" s="279"/>
      <c r="O50" s="279"/>
      <c r="P50" s="279"/>
      <c r="Q50" s="279"/>
    </row>
    <row r="51" spans="2:17" s="2" customFormat="1" ht="7.5" customHeight="1" x14ac:dyDescent="0.3">
      <c r="D51" s="22"/>
      <c r="E51" s="22"/>
      <c r="F51" s="22"/>
      <c r="G51" s="22"/>
      <c r="H51" s="22"/>
      <c r="I51" s="22"/>
      <c r="J51" s="22"/>
      <c r="K51" s="22"/>
      <c r="L51" s="22"/>
      <c r="M51" s="22"/>
      <c r="N51" s="22"/>
      <c r="O51" s="22"/>
      <c r="P51" s="22"/>
      <c r="Q51" s="22"/>
    </row>
    <row r="52" spans="2:17" ht="32.25" customHeight="1" x14ac:dyDescent="0.3">
      <c r="B52" s="33">
        <v>1</v>
      </c>
      <c r="C52" t="s">
        <v>34</v>
      </c>
      <c r="D52" s="279" t="s">
        <v>35</v>
      </c>
      <c r="E52" s="279"/>
      <c r="F52" s="279"/>
      <c r="G52" s="279"/>
      <c r="H52" s="279"/>
      <c r="I52" s="279"/>
      <c r="J52" s="279"/>
      <c r="K52" s="279"/>
      <c r="L52" s="279"/>
      <c r="M52" s="279"/>
      <c r="N52" s="279"/>
      <c r="O52" s="279"/>
      <c r="P52" s="279"/>
      <c r="Q52" s="279"/>
    </row>
    <row r="53" spans="2:17" ht="6" customHeight="1" x14ac:dyDescent="0.3"/>
    <row r="54" spans="2:17" x14ac:dyDescent="0.3">
      <c r="B54" s="11">
        <v>3865</v>
      </c>
      <c r="C54" t="s">
        <v>36</v>
      </c>
      <c r="D54" s="20" t="s">
        <v>262</v>
      </c>
    </row>
    <row r="57" spans="2:17" x14ac:dyDescent="0.3">
      <c r="C57" s="23"/>
      <c r="D57" s="23"/>
      <c r="E57" s="23"/>
      <c r="F57" s="23"/>
    </row>
    <row r="58" spans="2:17" x14ac:dyDescent="0.3">
      <c r="B58" s="32" t="s">
        <v>46</v>
      </c>
      <c r="C58" s="23"/>
      <c r="D58" s="23"/>
      <c r="E58" s="23"/>
      <c r="F58" s="23"/>
    </row>
    <row r="59" spans="2:17" x14ac:dyDescent="0.3">
      <c r="B59" s="97">
        <v>2222</v>
      </c>
      <c r="C59" s="98">
        <f>Tame!C43</f>
        <v>2603.5300000000002</v>
      </c>
      <c r="D59" s="99" t="s">
        <v>38</v>
      </c>
    </row>
    <row r="60" spans="2:17" x14ac:dyDescent="0.3">
      <c r="B60" s="97">
        <v>2223</v>
      </c>
      <c r="C60" s="98">
        <f>Tame!C44</f>
        <v>12937.68</v>
      </c>
      <c r="D60" s="100" t="s">
        <v>39</v>
      </c>
    </row>
    <row r="61" spans="2:17" x14ac:dyDescent="0.3">
      <c r="B61">
        <v>2229</v>
      </c>
      <c r="C61" s="26">
        <f>Tame!C45</f>
        <v>0</v>
      </c>
      <c r="D61" s="27" t="s">
        <v>40</v>
      </c>
    </row>
    <row r="62" spans="2:17" x14ac:dyDescent="0.3">
      <c r="B62">
        <v>2239</v>
      </c>
      <c r="C62" s="26">
        <f>Tame!C50</f>
        <v>11755.06</v>
      </c>
      <c r="D62" s="27" t="s">
        <v>44</v>
      </c>
    </row>
    <row r="63" spans="2:17" x14ac:dyDescent="0.3">
      <c r="B63">
        <v>2241</v>
      </c>
      <c r="C63" s="26">
        <f>Tame!C52</f>
        <v>13118.66</v>
      </c>
      <c r="D63" s="23" t="s">
        <v>190</v>
      </c>
    </row>
    <row r="64" spans="2:17" x14ac:dyDescent="0.3">
      <c r="B64">
        <v>2243</v>
      </c>
      <c r="C64" s="26">
        <v>4500</v>
      </c>
      <c r="D64" s="27" t="s">
        <v>45</v>
      </c>
      <c r="E64" s="27"/>
    </row>
    <row r="65" spans="1:7" x14ac:dyDescent="0.3">
      <c r="B65">
        <v>2244</v>
      </c>
      <c r="C65" s="26">
        <f>Tame!C54</f>
        <v>11736.56</v>
      </c>
      <c r="D65" s="27" t="s">
        <v>47</v>
      </c>
    </row>
    <row r="66" spans="1:7" x14ac:dyDescent="0.3">
      <c r="B66">
        <v>2249</v>
      </c>
      <c r="C66" s="26">
        <f>Tame!C56</f>
        <v>1566.74</v>
      </c>
      <c r="D66" s="27" t="s">
        <v>41</v>
      </c>
    </row>
    <row r="67" spans="1:7" x14ac:dyDescent="0.3">
      <c r="B67" s="97">
        <v>2321</v>
      </c>
      <c r="C67" s="101">
        <f>Tame!C66</f>
        <v>40852.29</v>
      </c>
      <c r="D67" s="49" t="s">
        <v>42</v>
      </c>
    </row>
    <row r="68" spans="1:7" x14ac:dyDescent="0.3">
      <c r="B68">
        <v>2341</v>
      </c>
      <c r="C68" s="26">
        <f>Tame!C69</f>
        <v>0</v>
      </c>
      <c r="D68" s="27" t="s">
        <v>164</v>
      </c>
    </row>
    <row r="69" spans="1:7" x14ac:dyDescent="0.3">
      <c r="B69">
        <v>2312</v>
      </c>
      <c r="C69" s="26"/>
      <c r="D69" s="27"/>
    </row>
    <row r="70" spans="1:7" x14ac:dyDescent="0.3">
      <c r="B70">
        <v>2350</v>
      </c>
      <c r="C70" s="26">
        <f>Tame!C70</f>
        <v>6169.92</v>
      </c>
      <c r="D70" s="27" t="s">
        <v>43</v>
      </c>
    </row>
    <row r="71" spans="1:7" x14ac:dyDescent="0.3">
      <c r="A71" s="30" t="s">
        <v>48</v>
      </c>
      <c r="B71" s="30"/>
      <c r="C71" s="31">
        <f>SUM(C59:C70)</f>
        <v>105240.43999999999</v>
      </c>
      <c r="D71" s="276"/>
      <c r="E71" s="276"/>
      <c r="F71" s="276"/>
      <c r="G71" s="276"/>
    </row>
    <row r="72" spans="1:7" x14ac:dyDescent="0.3">
      <c r="C72" s="28"/>
      <c r="D72" s="276"/>
      <c r="E72" s="276"/>
      <c r="F72" s="276"/>
      <c r="G72" s="276"/>
    </row>
    <row r="73" spans="1:7" x14ac:dyDescent="0.3">
      <c r="C73" s="64">
        <f>(550*4)*1.2409*9</f>
        <v>24569.819999999996</v>
      </c>
      <c r="D73" s="65" t="s">
        <v>242</v>
      </c>
      <c r="E73" s="27"/>
      <c r="F73" s="27"/>
      <c r="G73" s="27"/>
    </row>
    <row r="74" spans="1:7" x14ac:dyDescent="0.3">
      <c r="A74" s="30" t="s">
        <v>274</v>
      </c>
      <c r="B74" s="30"/>
      <c r="C74" s="31">
        <f>SUM(C73:C73)</f>
        <v>24569.819999999996</v>
      </c>
      <c r="D74" s="27"/>
      <c r="E74" s="27"/>
      <c r="F74" s="27"/>
      <c r="G74" s="27"/>
    </row>
    <row r="75" spans="1:7" x14ac:dyDescent="0.3">
      <c r="C75" s="28"/>
      <c r="D75" s="27"/>
      <c r="E75" s="27"/>
      <c r="F75" s="27"/>
      <c r="G75" s="27"/>
    </row>
    <row r="76" spans="1:7" x14ac:dyDescent="0.3">
      <c r="C76" s="46">
        <f>(2038+1482)*1.2409*9</f>
        <v>39311.712</v>
      </c>
      <c r="D76" s="65" t="s">
        <v>49</v>
      </c>
    </row>
    <row r="77" spans="1:7" x14ac:dyDescent="0.3">
      <c r="C77" s="45">
        <f>996*3*1.2409*9</f>
        <v>33370.282800000001</v>
      </c>
      <c r="D77" s="65" t="s">
        <v>50</v>
      </c>
      <c r="E77" s="27"/>
      <c r="F77" s="27"/>
      <c r="G77" s="27"/>
    </row>
    <row r="78" spans="1:7" x14ac:dyDescent="0.3">
      <c r="B78">
        <v>2211</v>
      </c>
      <c r="C78">
        <f>Tame!C41</f>
        <v>1989.39</v>
      </c>
      <c r="D78" t="s">
        <v>52</v>
      </c>
    </row>
    <row r="79" spans="1:7" x14ac:dyDescent="0.3">
      <c r="B79">
        <v>2234</v>
      </c>
      <c r="C79">
        <f>Tame!C48</f>
        <v>323.55</v>
      </c>
      <c r="D79" s="27" t="s">
        <v>54</v>
      </c>
    </row>
    <row r="80" spans="1:7" x14ac:dyDescent="0.3">
      <c r="B80">
        <v>2236</v>
      </c>
      <c r="C80">
        <f>Tame!C49</f>
        <v>0</v>
      </c>
      <c r="D80" s="27" t="s">
        <v>53</v>
      </c>
    </row>
    <row r="81" spans="1:4" x14ac:dyDescent="0.3">
      <c r="B81">
        <v>2264</v>
      </c>
      <c r="C81">
        <f>Tame!C58</f>
        <v>583.01</v>
      </c>
      <c r="D81" s="27" t="s">
        <v>55</v>
      </c>
    </row>
    <row r="82" spans="1:4" x14ac:dyDescent="0.3">
      <c r="B82">
        <v>2311</v>
      </c>
      <c r="C82">
        <f>Tame!C63</f>
        <v>514.11</v>
      </c>
      <c r="D82" s="27" t="s">
        <v>56</v>
      </c>
    </row>
    <row r="83" spans="1:4" x14ac:dyDescent="0.3">
      <c r="B83">
        <v>2312</v>
      </c>
      <c r="C83">
        <f>Tame!C64</f>
        <v>3891.2</v>
      </c>
      <c r="D83" s="27" t="s">
        <v>57</v>
      </c>
    </row>
    <row r="84" spans="1:4" x14ac:dyDescent="0.3">
      <c r="B84">
        <v>2322</v>
      </c>
      <c r="C84">
        <f>Tame!C67</f>
        <v>396.19</v>
      </c>
      <c r="D84" s="27" t="s">
        <v>160</v>
      </c>
    </row>
    <row r="85" spans="1:4" x14ac:dyDescent="0.3">
      <c r="B85">
        <v>2390</v>
      </c>
      <c r="C85">
        <f>Tame!C71</f>
        <v>1398.41</v>
      </c>
    </row>
    <row r="86" spans="1:4" x14ac:dyDescent="0.3">
      <c r="A86" s="30" t="s">
        <v>275</v>
      </c>
      <c r="B86" s="30"/>
      <c r="C86" s="31">
        <f>SUM(C76:C85)</f>
        <v>81777.854800000001</v>
      </c>
    </row>
  </sheetData>
  <mergeCells count="20">
    <mergeCell ref="E3:E4"/>
    <mergeCell ref="C44:Q44"/>
    <mergeCell ref="D50:Q50"/>
    <mergeCell ref="D52:Q52"/>
    <mergeCell ref="D71:G71"/>
    <mergeCell ref="D72:G72"/>
    <mergeCell ref="D21:R21"/>
    <mergeCell ref="D35:R35"/>
    <mergeCell ref="D36:R36"/>
    <mergeCell ref="D37:R37"/>
    <mergeCell ref="D38:R38"/>
    <mergeCell ref="D39:R39"/>
    <mergeCell ref="D40:R40"/>
    <mergeCell ref="D41:R41"/>
    <mergeCell ref="D22:R22"/>
    <mergeCell ref="D23:R23"/>
    <mergeCell ref="D24:R24"/>
    <mergeCell ref="D25:R25"/>
    <mergeCell ref="D26:R26"/>
    <mergeCell ref="D28:R28"/>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6"/>
  <sheetViews>
    <sheetView zoomScaleNormal="100" workbookViewId="0">
      <selection activeCell="C73" sqref="C73"/>
    </sheetView>
  </sheetViews>
  <sheetFormatPr defaultRowHeight="14.4" x14ac:dyDescent="0.3"/>
  <cols>
    <col min="1" max="1" width="14.88671875" customWidth="1"/>
    <col min="2" max="2" width="12.88671875" bestFit="1" customWidth="1"/>
    <col min="3" max="3" width="10.44140625" bestFit="1" customWidth="1"/>
    <col min="4" max="4" width="26.6640625" customWidth="1"/>
    <col min="11" max="11" width="9.44140625" bestFit="1" customWidth="1"/>
    <col min="12" max="13" width="9.33203125" bestFit="1" customWidth="1"/>
  </cols>
  <sheetData>
    <row r="1" spans="1:14" x14ac:dyDescent="0.3">
      <c r="A1" s="1" t="s">
        <v>0</v>
      </c>
    </row>
    <row r="2" spans="1:14" x14ac:dyDescent="0.3">
      <c r="A2" s="147" t="s">
        <v>308</v>
      </c>
      <c r="C2" s="2"/>
      <c r="D2" s="2"/>
      <c r="E2" s="2"/>
      <c r="K2" s="35" t="s">
        <v>58</v>
      </c>
      <c r="L2" s="53" t="s">
        <v>59</v>
      </c>
      <c r="M2" s="53" t="s">
        <v>298</v>
      </c>
      <c r="N2" s="34"/>
    </row>
    <row r="3" spans="1:14" ht="15" thickBot="1" x14ac:dyDescent="0.35">
      <c r="B3" s="3">
        <f>((A12/B6+B10)*B8)/12</f>
        <v>925.4366297300561</v>
      </c>
      <c r="C3" s="4" t="s">
        <v>1</v>
      </c>
      <c r="D3" s="5" t="s">
        <v>2</v>
      </c>
      <c r="E3" s="278" t="s">
        <v>3</v>
      </c>
      <c r="H3" s="6" t="s">
        <v>4</v>
      </c>
      <c r="I3" s="7">
        <f>B3/B8</f>
        <v>4.5011509228115569</v>
      </c>
      <c r="K3" s="36">
        <f>I3*B8</f>
        <v>925.4366297300561</v>
      </c>
      <c r="L3" s="86">
        <f>K3/30</f>
        <v>30.847887657668537</v>
      </c>
      <c r="M3" s="86">
        <f>L3/3</f>
        <v>10.282629219222846</v>
      </c>
      <c r="N3" s="61"/>
    </row>
    <row r="4" spans="1:14" x14ac:dyDescent="0.3">
      <c r="B4" s="6" t="s">
        <v>5</v>
      </c>
      <c r="C4" s="4"/>
      <c r="D4" s="9">
        <v>12</v>
      </c>
      <c r="E4" s="278"/>
      <c r="H4" s="6" t="s">
        <v>6</v>
      </c>
      <c r="I4" s="10">
        <f>I3*1.21</f>
        <v>5.446392616601984</v>
      </c>
      <c r="K4" s="36">
        <f>I4*B8</f>
        <v>1119.7783219733678</v>
      </c>
      <c r="L4" s="86">
        <f>L3*1.21</f>
        <v>37.325944065778927</v>
      </c>
      <c r="M4" s="86">
        <f>M3*1.21</f>
        <v>12.441981355259644</v>
      </c>
      <c r="N4" s="34"/>
    </row>
    <row r="5" spans="1:14" x14ac:dyDescent="0.3">
      <c r="C5" s="2"/>
      <c r="D5" s="2"/>
      <c r="E5" s="2"/>
      <c r="K5" s="37"/>
    </row>
    <row r="6" spans="1:14" x14ac:dyDescent="0.3">
      <c r="B6" s="29">
        <v>3865</v>
      </c>
      <c r="C6" t="s">
        <v>7</v>
      </c>
      <c r="D6" s="12" t="s">
        <v>8</v>
      </c>
    </row>
    <row r="7" spans="1:14" ht="4.5" customHeight="1" x14ac:dyDescent="0.3">
      <c r="B7" s="8"/>
      <c r="D7" s="12"/>
    </row>
    <row r="8" spans="1:14" x14ac:dyDescent="0.3">
      <c r="A8" s="13">
        <f>B8/B6</f>
        <v>5.319534282018111E-2</v>
      </c>
      <c r="B8" s="11">
        <v>205.6</v>
      </c>
      <c r="C8" t="s">
        <v>9</v>
      </c>
      <c r="D8" s="14" t="s">
        <v>10</v>
      </c>
      <c r="E8" s="14"/>
    </row>
    <row r="9" spans="1:14" ht="5.25" customHeight="1" x14ac:dyDescent="0.3">
      <c r="B9" s="8"/>
      <c r="D9" s="12"/>
    </row>
    <row r="10" spans="1:14" x14ac:dyDescent="0.3">
      <c r="B10" s="11">
        <f>A45</f>
        <v>21.056058163001293</v>
      </c>
      <c r="C10" t="s">
        <v>11</v>
      </c>
      <c r="D10" s="14" t="s">
        <v>12</v>
      </c>
    </row>
    <row r="11" spans="1:14" ht="6.75" customHeight="1" x14ac:dyDescent="0.3">
      <c r="C11" s="14"/>
    </row>
    <row r="12" spans="1:14" x14ac:dyDescent="0.3">
      <c r="A12" s="11">
        <f>B21+B26+B28+B30+B32+B33+B34+B35/B41</f>
        <v>127381.715</v>
      </c>
      <c r="B12" t="s">
        <v>13</v>
      </c>
      <c r="C12" t="s">
        <v>14</v>
      </c>
    </row>
    <row r="14" spans="1:14" x14ac:dyDescent="0.3">
      <c r="D14" s="12" t="s">
        <v>15</v>
      </c>
    </row>
    <row r="15" spans="1:14" x14ac:dyDescent="0.3">
      <c r="D15" s="15"/>
    </row>
    <row r="16" spans="1:14" x14ac:dyDescent="0.3">
      <c r="D16" s="16" t="s">
        <v>273</v>
      </c>
    </row>
    <row r="17" spans="1:18" x14ac:dyDescent="0.3">
      <c r="D17" s="17"/>
    </row>
    <row r="18" spans="1:18" x14ac:dyDescent="0.3">
      <c r="D18" s="18" t="s">
        <v>16</v>
      </c>
    </row>
    <row r="21" spans="1:18" x14ac:dyDescent="0.3">
      <c r="B21" s="11">
        <f>C71</f>
        <v>108321.34999999999</v>
      </c>
      <c r="C21" t="s">
        <v>17</v>
      </c>
      <c r="D21" s="277" t="s">
        <v>243</v>
      </c>
      <c r="E21" s="277"/>
      <c r="F21" s="277"/>
      <c r="G21" s="277"/>
      <c r="H21" s="277"/>
      <c r="I21" s="277"/>
      <c r="J21" s="277"/>
      <c r="K21" s="277"/>
      <c r="L21" s="277"/>
      <c r="M21" s="277"/>
      <c r="N21" s="277"/>
      <c r="O21" s="277"/>
      <c r="P21" s="277"/>
      <c r="Q21" s="277"/>
      <c r="R21" s="277"/>
    </row>
    <row r="22" spans="1:18" x14ac:dyDescent="0.3">
      <c r="B22" s="11"/>
      <c r="D22" s="277" t="s">
        <v>244</v>
      </c>
      <c r="E22" s="277"/>
      <c r="F22" s="277"/>
      <c r="G22" s="277"/>
      <c r="H22" s="277"/>
      <c r="I22" s="277"/>
      <c r="J22" s="277"/>
      <c r="K22" s="277"/>
      <c r="L22" s="277"/>
      <c r="M22" s="277"/>
      <c r="N22" s="277"/>
      <c r="O22" s="277"/>
      <c r="P22" s="277"/>
      <c r="Q22" s="277"/>
      <c r="R22" s="277"/>
    </row>
    <row r="23" spans="1:18" x14ac:dyDescent="0.3">
      <c r="B23" s="11"/>
      <c r="D23" s="277" t="s">
        <v>245</v>
      </c>
      <c r="E23" s="277"/>
      <c r="F23" s="277"/>
      <c r="G23" s="277"/>
      <c r="H23" s="277"/>
      <c r="I23" s="277"/>
      <c r="J23" s="277"/>
      <c r="K23" s="277"/>
      <c r="L23" s="277"/>
      <c r="M23" s="277"/>
      <c r="N23" s="277"/>
      <c r="O23" s="277"/>
      <c r="P23" s="277"/>
      <c r="Q23" s="277"/>
      <c r="R23" s="277"/>
    </row>
    <row r="24" spans="1:18" x14ac:dyDescent="0.3">
      <c r="A24" s="35" t="s">
        <v>17</v>
      </c>
      <c r="B24" s="11"/>
      <c r="D24" s="277" t="s">
        <v>246</v>
      </c>
      <c r="E24" s="277"/>
      <c r="F24" s="277"/>
      <c r="G24" s="277"/>
      <c r="H24" s="277"/>
      <c r="I24" s="277"/>
      <c r="J24" s="277"/>
      <c r="K24" s="277"/>
      <c r="L24" s="277"/>
      <c r="M24" s="277"/>
      <c r="N24" s="277"/>
      <c r="O24" s="277"/>
      <c r="P24" s="277"/>
      <c r="Q24" s="277"/>
      <c r="R24" s="277"/>
    </row>
    <row r="25" spans="1:18" x14ac:dyDescent="0.3">
      <c r="B25" s="11"/>
      <c r="D25" s="277" t="s">
        <v>247</v>
      </c>
      <c r="E25" s="277"/>
      <c r="F25" s="277"/>
      <c r="G25" s="277"/>
      <c r="H25" s="277"/>
      <c r="I25" s="277"/>
      <c r="J25" s="277"/>
      <c r="K25" s="277"/>
      <c r="L25" s="277"/>
      <c r="M25" s="277"/>
      <c r="N25" s="277"/>
      <c r="O25" s="277"/>
      <c r="P25" s="277"/>
      <c r="Q25" s="277"/>
      <c r="R25" s="277"/>
    </row>
    <row r="26" spans="1:18" x14ac:dyDescent="0.3">
      <c r="B26" s="11">
        <f>C74</f>
        <v>18427.364999999998</v>
      </c>
      <c r="C26" t="s">
        <v>18</v>
      </c>
      <c r="D26" s="277" t="s">
        <v>248</v>
      </c>
      <c r="E26" s="277"/>
      <c r="F26" s="277"/>
      <c r="G26" s="277"/>
      <c r="H26" s="277"/>
      <c r="I26" s="277"/>
      <c r="J26" s="277"/>
      <c r="K26" s="277"/>
      <c r="L26" s="277"/>
      <c r="M26" s="277"/>
      <c r="N26" s="277"/>
      <c r="O26" s="277"/>
      <c r="P26" s="277"/>
      <c r="Q26" s="277"/>
      <c r="R26" s="277"/>
    </row>
    <row r="27" spans="1:18" x14ac:dyDescent="0.3">
      <c r="B27" s="8"/>
      <c r="D27" t="s">
        <v>249</v>
      </c>
    </row>
    <row r="28" spans="1:18" x14ac:dyDescent="0.3">
      <c r="B28" s="11">
        <f>Tame!B88+Tame!B101</f>
        <v>633</v>
      </c>
      <c r="C28" t="s">
        <v>19</v>
      </c>
      <c r="D28" s="277" t="s">
        <v>250</v>
      </c>
      <c r="E28" s="277"/>
      <c r="F28" s="277"/>
      <c r="G28" s="277"/>
      <c r="H28" s="277"/>
      <c r="I28" s="277"/>
      <c r="J28" s="277"/>
      <c r="K28" s="277"/>
      <c r="L28" s="277"/>
      <c r="M28" s="277"/>
      <c r="N28" s="277"/>
      <c r="O28" s="277"/>
      <c r="P28" s="277"/>
      <c r="Q28" s="277"/>
      <c r="R28" s="277"/>
    </row>
    <row r="29" spans="1:18" x14ac:dyDescent="0.3">
      <c r="B29" s="8"/>
      <c r="D29" t="s">
        <v>251</v>
      </c>
    </row>
    <row r="30" spans="1:18" x14ac:dyDescent="0.3">
      <c r="B30" s="11">
        <f>Tame!C83</f>
        <v>0</v>
      </c>
      <c r="C30" t="s">
        <v>20</v>
      </c>
      <c r="D30" t="s">
        <v>21</v>
      </c>
    </row>
    <row r="31" spans="1:18" x14ac:dyDescent="0.3">
      <c r="B31" s="8"/>
      <c r="D31" t="s">
        <v>22</v>
      </c>
    </row>
    <row r="32" spans="1:18" x14ac:dyDescent="0.3">
      <c r="B32" s="11">
        <f>Tame!C55</f>
        <v>0</v>
      </c>
      <c r="C32" t="s">
        <v>23</v>
      </c>
      <c r="D32" t="s">
        <v>24</v>
      </c>
    </row>
    <row r="33" spans="1:18" x14ac:dyDescent="0.3">
      <c r="B33" s="11">
        <v>0</v>
      </c>
      <c r="C33" t="s">
        <v>25</v>
      </c>
      <c r="D33" t="s">
        <v>26</v>
      </c>
    </row>
    <row r="34" spans="1:18" x14ac:dyDescent="0.3">
      <c r="B34" s="11"/>
      <c r="C34" t="s">
        <v>27</v>
      </c>
      <c r="D34" t="s">
        <v>28</v>
      </c>
    </row>
    <row r="35" spans="1:18" x14ac:dyDescent="0.3">
      <c r="B35" s="11">
        <v>0</v>
      </c>
      <c r="C35" t="s">
        <v>252</v>
      </c>
      <c r="D35" s="277" t="s">
        <v>253</v>
      </c>
      <c r="E35" s="277"/>
      <c r="F35" s="277"/>
      <c r="G35" s="277"/>
      <c r="H35" s="277"/>
      <c r="I35" s="277"/>
      <c r="J35" s="277"/>
      <c r="K35" s="277"/>
      <c r="L35" s="277"/>
      <c r="M35" s="277"/>
      <c r="N35" s="277"/>
      <c r="O35" s="277"/>
      <c r="P35" s="277"/>
      <c r="Q35" s="277"/>
      <c r="R35" s="277"/>
    </row>
    <row r="36" spans="1:18" x14ac:dyDescent="0.3">
      <c r="B36" s="11"/>
      <c r="D36" s="277" t="s">
        <v>254</v>
      </c>
      <c r="E36" s="277"/>
      <c r="F36" s="277"/>
      <c r="G36" s="277"/>
      <c r="H36" s="277"/>
      <c r="I36" s="277"/>
      <c r="J36" s="277"/>
      <c r="K36" s="277"/>
      <c r="L36" s="277"/>
      <c r="M36" s="277"/>
      <c r="N36" s="277"/>
      <c r="O36" s="277"/>
      <c r="P36" s="277"/>
      <c r="Q36" s="277"/>
      <c r="R36" s="277"/>
    </row>
    <row r="37" spans="1:18" x14ac:dyDescent="0.3">
      <c r="B37" s="11"/>
      <c r="D37" s="277" t="s">
        <v>255</v>
      </c>
      <c r="E37" s="277"/>
      <c r="F37" s="277"/>
      <c r="G37" s="277"/>
      <c r="H37" s="277"/>
      <c r="I37" s="277"/>
      <c r="J37" s="277"/>
      <c r="K37" s="277"/>
      <c r="L37" s="277"/>
      <c r="M37" s="277"/>
      <c r="N37" s="277"/>
      <c r="O37" s="277"/>
      <c r="P37" s="277"/>
      <c r="Q37" s="277"/>
      <c r="R37" s="277"/>
    </row>
    <row r="38" spans="1:18" x14ac:dyDescent="0.3">
      <c r="B38" s="11"/>
      <c r="D38" s="277" t="s">
        <v>256</v>
      </c>
      <c r="E38" s="277"/>
      <c r="F38" s="277"/>
      <c r="G38" s="277"/>
      <c r="H38" s="277"/>
      <c r="I38" s="277"/>
      <c r="J38" s="277"/>
      <c r="K38" s="277"/>
      <c r="L38" s="277"/>
      <c r="M38" s="277"/>
      <c r="N38" s="277"/>
      <c r="O38" s="277"/>
      <c r="P38" s="277"/>
      <c r="Q38" s="277"/>
      <c r="R38" s="277"/>
    </row>
    <row r="39" spans="1:18" x14ac:dyDescent="0.3">
      <c r="B39" s="11"/>
      <c r="D39" s="277" t="s">
        <v>257</v>
      </c>
      <c r="E39" s="277"/>
      <c r="F39" s="277"/>
      <c r="G39" s="277"/>
      <c r="H39" s="277"/>
      <c r="I39" s="277"/>
      <c r="J39" s="277"/>
      <c r="K39" s="277"/>
      <c r="L39" s="277"/>
      <c r="M39" s="277"/>
      <c r="N39" s="277"/>
      <c r="O39" s="277"/>
      <c r="P39" s="277"/>
      <c r="Q39" s="277"/>
      <c r="R39" s="277"/>
    </row>
    <row r="40" spans="1:18" x14ac:dyDescent="0.3">
      <c r="B40" s="11"/>
      <c r="D40" s="277" t="s">
        <v>258</v>
      </c>
      <c r="E40" s="277"/>
      <c r="F40" s="277"/>
      <c r="G40" s="277"/>
      <c r="H40" s="277"/>
      <c r="I40" s="277"/>
      <c r="J40" s="277"/>
      <c r="K40" s="277"/>
      <c r="L40" s="277"/>
      <c r="M40" s="277"/>
      <c r="N40" s="277"/>
      <c r="O40" s="277"/>
      <c r="P40" s="277"/>
      <c r="Q40" s="277"/>
      <c r="R40" s="277"/>
    </row>
    <row r="41" spans="1:18" x14ac:dyDescent="0.3">
      <c r="B41" s="11">
        <v>1</v>
      </c>
      <c r="C41" t="s">
        <v>259</v>
      </c>
      <c r="D41" s="277" t="s">
        <v>260</v>
      </c>
      <c r="E41" s="277"/>
      <c r="F41" s="277"/>
      <c r="G41" s="277"/>
      <c r="H41" s="277"/>
      <c r="I41" s="277"/>
      <c r="J41" s="277"/>
      <c r="K41" s="277"/>
      <c r="L41" s="277"/>
      <c r="M41" s="277"/>
      <c r="N41" s="277"/>
      <c r="O41" s="277"/>
      <c r="P41" s="277"/>
      <c r="Q41" s="277"/>
      <c r="R41" s="277"/>
    </row>
    <row r="42" spans="1:18" x14ac:dyDescent="0.3">
      <c r="B42" s="11"/>
      <c r="D42" s="102" t="s">
        <v>261</v>
      </c>
      <c r="E42" s="102"/>
      <c r="F42" s="102"/>
      <c r="G42" s="102"/>
      <c r="H42" s="102"/>
      <c r="I42" s="102"/>
      <c r="J42" s="102"/>
      <c r="K42" s="102"/>
      <c r="L42" s="102"/>
      <c r="M42" s="102"/>
      <c r="N42" s="102"/>
      <c r="O42" s="102"/>
      <c r="P42" s="102"/>
      <c r="Q42" s="102"/>
      <c r="R42" s="102"/>
    </row>
    <row r="45" spans="1:18" ht="30" customHeight="1" x14ac:dyDescent="0.3">
      <c r="A45" s="19">
        <f>B51*B53/B55</f>
        <v>21.056058163001293</v>
      </c>
      <c r="B45" t="s">
        <v>11</v>
      </c>
      <c r="C45" s="279" t="s">
        <v>29</v>
      </c>
      <c r="D45" s="279"/>
      <c r="E45" s="279"/>
      <c r="F45" s="279"/>
      <c r="G45" s="279"/>
      <c r="H45" s="279"/>
      <c r="I45" s="279"/>
      <c r="J45" s="279"/>
      <c r="K45" s="279"/>
      <c r="L45" s="279"/>
      <c r="M45" s="279"/>
      <c r="N45" s="279"/>
      <c r="O45" s="279"/>
      <c r="P45" s="279"/>
      <c r="Q45" s="279"/>
    </row>
    <row r="47" spans="1:18" x14ac:dyDescent="0.3">
      <c r="E47" s="20" t="s">
        <v>30</v>
      </c>
    </row>
    <row r="49" spans="2:17" x14ac:dyDescent="0.3">
      <c r="E49" s="20" t="s">
        <v>31</v>
      </c>
    </row>
    <row r="51" spans="2:17" ht="46.5" customHeight="1" x14ac:dyDescent="0.3">
      <c r="B51" s="21">
        <f>C86</f>
        <v>81381.664799999999</v>
      </c>
      <c r="C51" t="s">
        <v>32</v>
      </c>
      <c r="D51" s="279" t="s">
        <v>33</v>
      </c>
      <c r="E51" s="279"/>
      <c r="F51" s="279"/>
      <c r="G51" s="279"/>
      <c r="H51" s="279"/>
      <c r="I51" s="279"/>
      <c r="J51" s="279"/>
      <c r="K51" s="279"/>
      <c r="L51" s="279"/>
      <c r="M51" s="279"/>
      <c r="N51" s="279"/>
      <c r="O51" s="279"/>
      <c r="P51" s="279"/>
      <c r="Q51" s="279"/>
    </row>
    <row r="52" spans="2:17" s="2" customFormat="1" ht="7.5" customHeight="1" x14ac:dyDescent="0.3">
      <c r="D52" s="22"/>
      <c r="E52" s="22"/>
      <c r="F52" s="22"/>
      <c r="G52" s="22"/>
      <c r="H52" s="22"/>
      <c r="I52" s="22"/>
      <c r="J52" s="22"/>
      <c r="K52" s="22"/>
      <c r="L52" s="22"/>
      <c r="M52" s="22"/>
      <c r="N52" s="22"/>
      <c r="O52" s="22"/>
      <c r="P52" s="22"/>
      <c r="Q52" s="22"/>
    </row>
    <row r="53" spans="2:17" ht="32.25" customHeight="1" x14ac:dyDescent="0.3">
      <c r="B53" s="33">
        <v>1</v>
      </c>
      <c r="C53" t="s">
        <v>34</v>
      </c>
      <c r="D53" s="279" t="s">
        <v>35</v>
      </c>
      <c r="E53" s="279"/>
      <c r="F53" s="279"/>
      <c r="G53" s="279"/>
      <c r="H53" s="279"/>
      <c r="I53" s="279"/>
      <c r="J53" s="279"/>
      <c r="K53" s="279"/>
      <c r="L53" s="279"/>
      <c r="M53" s="279"/>
      <c r="N53" s="279"/>
      <c r="O53" s="279"/>
      <c r="P53" s="279"/>
      <c r="Q53" s="279"/>
    </row>
    <row r="54" spans="2:17" ht="6" customHeight="1" x14ac:dyDescent="0.3"/>
    <row r="55" spans="2:17" x14ac:dyDescent="0.3">
      <c r="B55" s="11">
        <v>3865</v>
      </c>
      <c r="C55" t="s">
        <v>36</v>
      </c>
      <c r="D55" s="20" t="s">
        <v>37</v>
      </c>
    </row>
    <row r="58" spans="2:17" x14ac:dyDescent="0.3">
      <c r="C58" s="23"/>
      <c r="D58" s="23"/>
      <c r="E58" s="23"/>
      <c r="F58" s="23"/>
    </row>
    <row r="59" spans="2:17" x14ac:dyDescent="0.3">
      <c r="B59" s="32" t="s">
        <v>46</v>
      </c>
      <c r="C59" s="23"/>
      <c r="D59" s="23"/>
      <c r="E59" s="23"/>
      <c r="F59" s="23"/>
    </row>
    <row r="60" spans="2:17" x14ac:dyDescent="0.3">
      <c r="B60">
        <v>2222</v>
      </c>
      <c r="C60" s="8">
        <f>Tame!C43</f>
        <v>2603.5300000000002</v>
      </c>
      <c r="D60" s="24" t="s">
        <v>38</v>
      </c>
    </row>
    <row r="61" spans="2:17" x14ac:dyDescent="0.3">
      <c r="B61">
        <v>2223</v>
      </c>
      <c r="C61" s="8">
        <f>Tame!C44</f>
        <v>12937.68</v>
      </c>
      <c r="D61" s="25" t="s">
        <v>39</v>
      </c>
    </row>
    <row r="62" spans="2:17" x14ac:dyDescent="0.3">
      <c r="B62">
        <v>2229</v>
      </c>
      <c r="C62" s="26">
        <f>Tame!C45</f>
        <v>0</v>
      </c>
      <c r="D62" s="27" t="s">
        <v>40</v>
      </c>
    </row>
    <row r="63" spans="2:17" x14ac:dyDescent="0.3">
      <c r="B63">
        <v>2239</v>
      </c>
      <c r="C63" s="26">
        <f>Tame!C50</f>
        <v>11755.06</v>
      </c>
      <c r="D63" s="27" t="s">
        <v>44</v>
      </c>
    </row>
    <row r="64" spans="2:17" x14ac:dyDescent="0.3">
      <c r="B64">
        <v>2241</v>
      </c>
      <c r="C64" s="26">
        <f>Tame!C52</f>
        <v>13118.66</v>
      </c>
      <c r="D64" s="23" t="s">
        <v>190</v>
      </c>
    </row>
    <row r="65" spans="1:7" x14ac:dyDescent="0.3">
      <c r="B65">
        <v>2243</v>
      </c>
      <c r="C65" s="26">
        <f>Tame!C53</f>
        <v>7580.91</v>
      </c>
      <c r="D65" s="27" t="s">
        <v>45</v>
      </c>
      <c r="E65" s="27"/>
    </row>
    <row r="66" spans="1:7" x14ac:dyDescent="0.3">
      <c r="B66">
        <v>2244</v>
      </c>
      <c r="C66" s="26">
        <f>Tame!C54</f>
        <v>11736.56</v>
      </c>
      <c r="D66" s="27" t="s">
        <v>47</v>
      </c>
    </row>
    <row r="67" spans="1:7" x14ac:dyDescent="0.3">
      <c r="B67">
        <v>2249</v>
      </c>
      <c r="C67" s="26">
        <f>Tame!C56</f>
        <v>1566.74</v>
      </c>
      <c r="D67" s="27" t="s">
        <v>41</v>
      </c>
    </row>
    <row r="68" spans="1:7" x14ac:dyDescent="0.3">
      <c r="B68">
        <v>2321</v>
      </c>
      <c r="C68" s="26">
        <f>Tame!C66</f>
        <v>40852.29</v>
      </c>
      <c r="D68" s="27" t="s">
        <v>42</v>
      </c>
    </row>
    <row r="69" spans="1:7" x14ac:dyDescent="0.3">
      <c r="B69">
        <v>2341</v>
      </c>
      <c r="C69" s="26">
        <f>Tame!C69</f>
        <v>0</v>
      </c>
      <c r="D69" s="27" t="s">
        <v>164</v>
      </c>
    </row>
    <row r="70" spans="1:7" x14ac:dyDescent="0.3">
      <c r="B70">
        <v>2350</v>
      </c>
      <c r="C70" s="26">
        <f>Tame!C70</f>
        <v>6169.92</v>
      </c>
      <c r="D70" s="27" t="s">
        <v>43</v>
      </c>
    </row>
    <row r="71" spans="1:7" x14ac:dyDescent="0.3">
      <c r="A71" s="30" t="s">
        <v>48</v>
      </c>
      <c r="B71" s="30"/>
      <c r="C71" s="31">
        <f>SUM(C60:C70)</f>
        <v>108321.34999999999</v>
      </c>
      <c r="D71" s="276"/>
      <c r="E71" s="276"/>
      <c r="F71" s="276"/>
      <c r="G71" s="276"/>
    </row>
    <row r="72" spans="1:7" x14ac:dyDescent="0.3">
      <c r="C72" s="28"/>
      <c r="D72" s="276"/>
      <c r="E72" s="276"/>
      <c r="F72" s="276"/>
      <c r="G72" s="276"/>
    </row>
    <row r="73" spans="1:7" x14ac:dyDescent="0.3">
      <c r="C73" s="64">
        <f>(550*3)*1.2409*9</f>
        <v>18427.364999999998</v>
      </c>
      <c r="D73" s="65" t="s">
        <v>51</v>
      </c>
      <c r="E73" s="27"/>
      <c r="F73" s="27"/>
      <c r="G73" s="27"/>
    </row>
    <row r="74" spans="1:7" x14ac:dyDescent="0.3">
      <c r="A74" s="30" t="s">
        <v>274</v>
      </c>
      <c r="B74" s="30"/>
      <c r="C74" s="31">
        <f>SUM(C73:C73)</f>
        <v>18427.364999999998</v>
      </c>
      <c r="D74" s="27"/>
      <c r="E74" s="27"/>
      <c r="F74" s="27"/>
      <c r="G74" s="27"/>
    </row>
    <row r="75" spans="1:7" x14ac:dyDescent="0.3">
      <c r="C75" s="28"/>
      <c r="D75" s="27"/>
      <c r="E75" s="27"/>
      <c r="F75" s="27"/>
      <c r="G75" s="27"/>
    </row>
    <row r="76" spans="1:7" x14ac:dyDescent="0.3">
      <c r="C76" s="46">
        <f>(2038+1482)*1.2409*9</f>
        <v>39311.712</v>
      </c>
      <c r="D76" s="65" t="s">
        <v>49</v>
      </c>
    </row>
    <row r="77" spans="1:7" x14ac:dyDescent="0.3">
      <c r="C77" s="45">
        <f>996*3*1.2409*9</f>
        <v>33370.282800000001</v>
      </c>
      <c r="D77" s="65" t="s">
        <v>50</v>
      </c>
      <c r="E77" s="27"/>
      <c r="F77" s="27"/>
      <c r="G77" s="27"/>
    </row>
    <row r="78" spans="1:7" x14ac:dyDescent="0.3">
      <c r="B78">
        <v>2211</v>
      </c>
      <c r="C78">
        <f>Tame!C41</f>
        <v>1989.39</v>
      </c>
      <c r="D78" t="s">
        <v>52</v>
      </c>
    </row>
    <row r="79" spans="1:7" x14ac:dyDescent="0.3">
      <c r="B79">
        <v>2234</v>
      </c>
      <c r="C79">
        <f>Tame!C48</f>
        <v>323.55</v>
      </c>
      <c r="D79" s="27" t="s">
        <v>54</v>
      </c>
    </row>
    <row r="80" spans="1:7" x14ac:dyDescent="0.3">
      <c r="B80">
        <v>2236</v>
      </c>
      <c r="C80">
        <f>Tame!C49</f>
        <v>0</v>
      </c>
      <c r="D80" s="27" t="s">
        <v>53</v>
      </c>
    </row>
    <row r="81" spans="1:4" x14ac:dyDescent="0.3">
      <c r="B81">
        <v>2264</v>
      </c>
      <c r="C81">
        <f>Tame!C58</f>
        <v>583.01</v>
      </c>
      <c r="D81" s="27" t="s">
        <v>55</v>
      </c>
    </row>
    <row r="82" spans="1:4" x14ac:dyDescent="0.3">
      <c r="B82">
        <v>2311</v>
      </c>
      <c r="C82">
        <f>Tame!C63</f>
        <v>514.11</v>
      </c>
      <c r="D82" s="27" t="s">
        <v>56</v>
      </c>
    </row>
    <row r="83" spans="1:4" x14ac:dyDescent="0.3">
      <c r="B83">
        <v>2312</v>
      </c>
      <c r="C83">
        <f>Tame!C64</f>
        <v>3891.2</v>
      </c>
      <c r="D83" s="27" t="s">
        <v>57</v>
      </c>
    </row>
    <row r="84" spans="1:4" x14ac:dyDescent="0.3">
      <c r="B84">
        <v>2322</v>
      </c>
      <c r="D84" s="27" t="s">
        <v>160</v>
      </c>
    </row>
    <row r="85" spans="1:4" x14ac:dyDescent="0.3">
      <c r="B85">
        <v>2390</v>
      </c>
      <c r="C85">
        <f>Tame!C71</f>
        <v>1398.41</v>
      </c>
    </row>
    <row r="86" spans="1:4" x14ac:dyDescent="0.3">
      <c r="A86" s="30" t="s">
        <v>275</v>
      </c>
      <c r="B86" s="30"/>
      <c r="C86" s="31">
        <f>SUM(C76:C85)</f>
        <v>81381.664799999999</v>
      </c>
    </row>
  </sheetData>
  <mergeCells count="20">
    <mergeCell ref="E3:E4"/>
    <mergeCell ref="C45:Q45"/>
    <mergeCell ref="D51:Q51"/>
    <mergeCell ref="D53:Q53"/>
    <mergeCell ref="D71:G71"/>
    <mergeCell ref="D72:G72"/>
    <mergeCell ref="D21:R21"/>
    <mergeCell ref="D22:R22"/>
    <mergeCell ref="D23:R23"/>
    <mergeCell ref="D24:R24"/>
    <mergeCell ref="D39:R39"/>
    <mergeCell ref="D40:R40"/>
    <mergeCell ref="D41:R41"/>
    <mergeCell ref="D28:R28"/>
    <mergeCell ref="D25:R25"/>
    <mergeCell ref="D26:R26"/>
    <mergeCell ref="D35:R35"/>
    <mergeCell ref="D36:R36"/>
    <mergeCell ref="D37:R37"/>
    <mergeCell ref="D38:R38"/>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6"/>
  <sheetViews>
    <sheetView zoomScaleNormal="100" workbookViewId="0">
      <selection activeCell="C76" sqref="C76:C77"/>
    </sheetView>
  </sheetViews>
  <sheetFormatPr defaultRowHeight="14.4" x14ac:dyDescent="0.3"/>
  <cols>
    <col min="1" max="1" width="14.88671875" customWidth="1"/>
    <col min="2" max="2" width="12.88671875" bestFit="1" customWidth="1"/>
    <col min="3" max="3" width="10.44140625" bestFit="1" customWidth="1"/>
    <col min="4" max="4" width="26.6640625" customWidth="1"/>
    <col min="11" max="11" width="9.44140625" bestFit="1" customWidth="1"/>
    <col min="12" max="13" width="9.33203125" bestFit="1" customWidth="1"/>
  </cols>
  <sheetData>
    <row r="1" spans="1:14" x14ac:dyDescent="0.3">
      <c r="A1" s="1" t="s">
        <v>0</v>
      </c>
    </row>
    <row r="2" spans="1:14" x14ac:dyDescent="0.3">
      <c r="A2" s="147" t="s">
        <v>207</v>
      </c>
      <c r="C2" s="2"/>
      <c r="D2" s="2"/>
      <c r="E2" s="2"/>
      <c r="K2" s="35" t="s">
        <v>58</v>
      </c>
      <c r="L2" s="53" t="s">
        <v>59</v>
      </c>
      <c r="M2" s="53" t="s">
        <v>238</v>
      </c>
      <c r="N2" s="34"/>
    </row>
    <row r="3" spans="1:14" ht="15" thickBot="1" x14ac:dyDescent="0.35">
      <c r="B3" s="3">
        <f>((A12/B6+B10)*B8)/12</f>
        <v>635.72834270288899</v>
      </c>
      <c r="C3" s="4" t="s">
        <v>1</v>
      </c>
      <c r="D3" s="5" t="s">
        <v>2</v>
      </c>
      <c r="E3" s="278" t="s">
        <v>3</v>
      </c>
      <c r="H3" s="6" t="s">
        <v>4</v>
      </c>
      <c r="I3" s="7">
        <f>B3/B8</f>
        <v>4.6335885036653721</v>
      </c>
      <c r="K3" s="36">
        <f>I3*B8</f>
        <v>635.72834270288899</v>
      </c>
      <c r="L3" s="86">
        <f>K3/30</f>
        <v>21.190944756762967</v>
      </c>
      <c r="M3" s="86">
        <f>L3/4</f>
        <v>5.2977361891907417</v>
      </c>
      <c r="N3" s="61"/>
    </row>
    <row r="4" spans="1:14" x14ac:dyDescent="0.3">
      <c r="B4" s="6" t="s">
        <v>5</v>
      </c>
      <c r="C4" s="4"/>
      <c r="D4" s="9">
        <v>12</v>
      </c>
      <c r="E4" s="278"/>
      <c r="H4" s="6" t="s">
        <v>6</v>
      </c>
      <c r="I4" s="10">
        <f>I3*1.21</f>
        <v>5.6066420894351001</v>
      </c>
      <c r="K4" s="36">
        <f>I4*B8</f>
        <v>769.23129467049569</v>
      </c>
      <c r="L4" s="86">
        <f>L3*1.21</f>
        <v>25.641043155683189</v>
      </c>
      <c r="M4" s="86">
        <f>M3*1.21</f>
        <v>6.4102607889207972</v>
      </c>
      <c r="N4" s="34"/>
    </row>
    <row r="5" spans="1:14" x14ac:dyDescent="0.3">
      <c r="C5" s="2"/>
      <c r="D5" s="2"/>
      <c r="E5" s="2"/>
      <c r="K5" s="37"/>
    </row>
    <row r="6" spans="1:14" x14ac:dyDescent="0.3">
      <c r="B6" s="29">
        <v>3865</v>
      </c>
      <c r="C6" t="s">
        <v>7</v>
      </c>
      <c r="D6" s="12" t="s">
        <v>8</v>
      </c>
    </row>
    <row r="7" spans="1:14" ht="4.5" customHeight="1" x14ac:dyDescent="0.3">
      <c r="B7" s="8"/>
      <c r="D7" s="12"/>
    </row>
    <row r="8" spans="1:14" x14ac:dyDescent="0.3">
      <c r="A8" s="13">
        <f>B8/B6</f>
        <v>3.5498059508408793E-2</v>
      </c>
      <c r="B8" s="11">
        <v>137.19999999999999</v>
      </c>
      <c r="C8" t="s">
        <v>9</v>
      </c>
      <c r="D8" s="14" t="s">
        <v>10</v>
      </c>
      <c r="E8" s="14"/>
    </row>
    <row r="9" spans="1:14" ht="5.25" customHeight="1" x14ac:dyDescent="0.3">
      <c r="B9" s="8"/>
      <c r="D9" s="12"/>
    </row>
    <row r="10" spans="1:14" x14ac:dyDescent="0.3">
      <c r="B10" s="11">
        <f>A45</f>
        <v>21.056058163001293</v>
      </c>
      <c r="C10" t="s">
        <v>11</v>
      </c>
      <c r="D10" s="14" t="s">
        <v>12</v>
      </c>
    </row>
    <row r="11" spans="1:14" ht="6.75" customHeight="1" x14ac:dyDescent="0.3">
      <c r="C11" s="14"/>
    </row>
    <row r="12" spans="1:14" x14ac:dyDescent="0.3">
      <c r="A12" s="11">
        <f>B21+B26+B28+B30+B32+B33+B34</f>
        <v>133524.16999999998</v>
      </c>
      <c r="B12" t="s">
        <v>13</v>
      </c>
      <c r="C12" t="s">
        <v>14</v>
      </c>
    </row>
    <row r="14" spans="1:14" x14ac:dyDescent="0.3">
      <c r="D14" s="12" t="s">
        <v>15</v>
      </c>
    </row>
    <row r="15" spans="1:14" x14ac:dyDescent="0.3">
      <c r="D15" s="15"/>
    </row>
    <row r="16" spans="1:14" x14ac:dyDescent="0.3">
      <c r="D16" s="16" t="s">
        <v>273</v>
      </c>
    </row>
    <row r="17" spans="1:18" x14ac:dyDescent="0.3">
      <c r="D17" s="17"/>
    </row>
    <row r="18" spans="1:18" x14ac:dyDescent="0.3">
      <c r="D18" s="18" t="s">
        <v>16</v>
      </c>
    </row>
    <row r="21" spans="1:18" x14ac:dyDescent="0.3">
      <c r="B21" s="11">
        <f>C71</f>
        <v>108321.34999999999</v>
      </c>
      <c r="C21" t="s">
        <v>17</v>
      </c>
      <c r="D21" s="277" t="s">
        <v>243</v>
      </c>
      <c r="E21" s="277"/>
      <c r="F21" s="277"/>
      <c r="G21" s="277"/>
      <c r="H21" s="277"/>
      <c r="I21" s="277"/>
      <c r="J21" s="277"/>
      <c r="K21" s="277"/>
      <c r="L21" s="277"/>
      <c r="M21" s="277"/>
      <c r="N21" s="277"/>
      <c r="O21" s="277"/>
      <c r="P21" s="277"/>
      <c r="Q21" s="277"/>
      <c r="R21" s="277"/>
    </row>
    <row r="22" spans="1:18" x14ac:dyDescent="0.3">
      <c r="B22" s="11"/>
      <c r="D22" s="277" t="s">
        <v>244</v>
      </c>
      <c r="E22" s="277"/>
      <c r="F22" s="277"/>
      <c r="G22" s="277"/>
      <c r="H22" s="277"/>
      <c r="I22" s="277"/>
      <c r="J22" s="277"/>
      <c r="K22" s="277"/>
      <c r="L22" s="277"/>
      <c r="M22" s="277"/>
      <c r="N22" s="277"/>
      <c r="O22" s="277"/>
      <c r="P22" s="277"/>
      <c r="Q22" s="277"/>
      <c r="R22" s="277"/>
    </row>
    <row r="23" spans="1:18" x14ac:dyDescent="0.3">
      <c r="B23" s="11"/>
      <c r="D23" s="277" t="s">
        <v>245</v>
      </c>
      <c r="E23" s="277"/>
      <c r="F23" s="277"/>
      <c r="G23" s="277"/>
      <c r="H23" s="277"/>
      <c r="I23" s="277"/>
      <c r="J23" s="277"/>
      <c r="K23" s="277"/>
      <c r="L23" s="277"/>
      <c r="M23" s="277"/>
      <c r="N23" s="277"/>
      <c r="O23" s="277"/>
      <c r="P23" s="277"/>
      <c r="Q23" s="277"/>
      <c r="R23" s="277"/>
    </row>
    <row r="24" spans="1:18" x14ac:dyDescent="0.3">
      <c r="A24" s="35" t="s">
        <v>17</v>
      </c>
      <c r="B24" s="11"/>
      <c r="D24" s="277" t="s">
        <v>246</v>
      </c>
      <c r="E24" s="277"/>
      <c r="F24" s="277"/>
      <c r="G24" s="277"/>
      <c r="H24" s="277"/>
      <c r="I24" s="277"/>
      <c r="J24" s="277"/>
      <c r="K24" s="277"/>
      <c r="L24" s="277"/>
      <c r="M24" s="277"/>
      <c r="N24" s="277"/>
      <c r="O24" s="277"/>
      <c r="P24" s="277"/>
      <c r="Q24" s="277"/>
      <c r="R24" s="277"/>
    </row>
    <row r="25" spans="1:18" x14ac:dyDescent="0.3">
      <c r="B25" s="11"/>
      <c r="D25" s="277" t="s">
        <v>247</v>
      </c>
      <c r="E25" s="277"/>
      <c r="F25" s="277"/>
      <c r="G25" s="277"/>
      <c r="H25" s="277"/>
      <c r="I25" s="277"/>
      <c r="J25" s="277"/>
      <c r="K25" s="277"/>
      <c r="L25" s="277"/>
      <c r="M25" s="277"/>
      <c r="N25" s="277"/>
      <c r="O25" s="277"/>
      <c r="P25" s="277"/>
      <c r="Q25" s="277"/>
      <c r="R25" s="277"/>
    </row>
    <row r="26" spans="1:18" x14ac:dyDescent="0.3">
      <c r="B26" s="11">
        <f>C74</f>
        <v>24569.82</v>
      </c>
      <c r="C26" t="s">
        <v>18</v>
      </c>
      <c r="D26" s="277" t="s">
        <v>248</v>
      </c>
      <c r="E26" s="277"/>
      <c r="F26" s="277"/>
      <c r="G26" s="277"/>
      <c r="H26" s="277"/>
      <c r="I26" s="277"/>
      <c r="J26" s="277"/>
      <c r="K26" s="277"/>
      <c r="L26" s="277"/>
      <c r="M26" s="277"/>
      <c r="N26" s="277"/>
      <c r="O26" s="277"/>
      <c r="P26" s="277"/>
      <c r="Q26" s="277"/>
      <c r="R26" s="277"/>
    </row>
    <row r="27" spans="1:18" x14ac:dyDescent="0.3">
      <c r="B27" s="8"/>
      <c r="D27" t="s">
        <v>249</v>
      </c>
    </row>
    <row r="28" spans="1:18" x14ac:dyDescent="0.3">
      <c r="B28" s="11">
        <f>Tame!B88+Tame!B101</f>
        <v>633</v>
      </c>
      <c r="C28" t="s">
        <v>19</v>
      </c>
      <c r="D28" s="277" t="s">
        <v>250</v>
      </c>
      <c r="E28" s="277"/>
      <c r="F28" s="277"/>
      <c r="G28" s="277"/>
      <c r="H28" s="277"/>
      <c r="I28" s="277"/>
      <c r="J28" s="277"/>
      <c r="K28" s="277"/>
      <c r="L28" s="277"/>
      <c r="M28" s="277"/>
      <c r="N28" s="277"/>
      <c r="O28" s="277"/>
      <c r="P28" s="277"/>
      <c r="Q28" s="277"/>
      <c r="R28" s="277"/>
    </row>
    <row r="29" spans="1:18" x14ac:dyDescent="0.3">
      <c r="B29" s="8"/>
      <c r="D29" t="s">
        <v>251</v>
      </c>
    </row>
    <row r="30" spans="1:18" x14ac:dyDescent="0.3">
      <c r="B30" s="11">
        <f>Tame!C83</f>
        <v>0</v>
      </c>
      <c r="C30" t="s">
        <v>20</v>
      </c>
      <c r="D30" t="s">
        <v>21</v>
      </c>
    </row>
    <row r="31" spans="1:18" x14ac:dyDescent="0.3">
      <c r="B31" s="8"/>
      <c r="D31" t="s">
        <v>22</v>
      </c>
    </row>
    <row r="32" spans="1:18" x14ac:dyDescent="0.3">
      <c r="B32" s="11">
        <f>Tame!C55</f>
        <v>0</v>
      </c>
      <c r="C32" t="s">
        <v>23</v>
      </c>
      <c r="D32" t="s">
        <v>24</v>
      </c>
    </row>
    <row r="33" spans="1:18" x14ac:dyDescent="0.3">
      <c r="B33" s="11">
        <v>0</v>
      </c>
      <c r="C33" t="s">
        <v>25</v>
      </c>
      <c r="D33" t="s">
        <v>26</v>
      </c>
    </row>
    <row r="34" spans="1:18" x14ac:dyDescent="0.3">
      <c r="B34" s="11"/>
      <c r="C34" t="s">
        <v>27</v>
      </c>
      <c r="D34" t="s">
        <v>28</v>
      </c>
    </row>
    <row r="35" spans="1:18" x14ac:dyDescent="0.3">
      <c r="B35" s="11">
        <v>0</v>
      </c>
      <c r="C35" t="s">
        <v>252</v>
      </c>
      <c r="D35" s="277" t="s">
        <v>253</v>
      </c>
      <c r="E35" s="277"/>
      <c r="F35" s="277"/>
      <c r="G35" s="277"/>
      <c r="H35" s="277"/>
      <c r="I35" s="277"/>
      <c r="J35" s="277"/>
      <c r="K35" s="277"/>
      <c r="L35" s="277"/>
      <c r="M35" s="277"/>
      <c r="N35" s="277"/>
      <c r="O35" s="277"/>
      <c r="P35" s="277"/>
      <c r="Q35" s="277"/>
      <c r="R35" s="277"/>
    </row>
    <row r="36" spans="1:18" x14ac:dyDescent="0.3">
      <c r="B36" s="11"/>
      <c r="D36" s="277" t="s">
        <v>254</v>
      </c>
      <c r="E36" s="277"/>
      <c r="F36" s="277"/>
      <c r="G36" s="277"/>
      <c r="H36" s="277"/>
      <c r="I36" s="277"/>
      <c r="J36" s="277"/>
      <c r="K36" s="277"/>
      <c r="L36" s="277"/>
      <c r="M36" s="277"/>
      <c r="N36" s="277"/>
      <c r="O36" s="277"/>
      <c r="P36" s="277"/>
      <c r="Q36" s="277"/>
      <c r="R36" s="277"/>
    </row>
    <row r="37" spans="1:18" x14ac:dyDescent="0.3">
      <c r="B37" s="11"/>
      <c r="D37" s="277" t="s">
        <v>255</v>
      </c>
      <c r="E37" s="277"/>
      <c r="F37" s="277"/>
      <c r="G37" s="277"/>
      <c r="H37" s="277"/>
      <c r="I37" s="277"/>
      <c r="J37" s="277"/>
      <c r="K37" s="277"/>
      <c r="L37" s="277"/>
      <c r="M37" s="277"/>
      <c r="N37" s="277"/>
      <c r="O37" s="277"/>
      <c r="P37" s="277"/>
      <c r="Q37" s="277"/>
      <c r="R37" s="277"/>
    </row>
    <row r="38" spans="1:18" x14ac:dyDescent="0.3">
      <c r="B38" s="11"/>
      <c r="D38" s="277" t="s">
        <v>256</v>
      </c>
      <c r="E38" s="277"/>
      <c r="F38" s="277"/>
      <c r="G38" s="277"/>
      <c r="H38" s="277"/>
      <c r="I38" s="277"/>
      <c r="J38" s="277"/>
      <c r="K38" s="277"/>
      <c r="L38" s="277"/>
      <c r="M38" s="277"/>
      <c r="N38" s="277"/>
      <c r="O38" s="277"/>
      <c r="P38" s="277"/>
      <c r="Q38" s="277"/>
      <c r="R38" s="277"/>
    </row>
    <row r="39" spans="1:18" x14ac:dyDescent="0.3">
      <c r="B39" s="11"/>
      <c r="D39" s="277" t="s">
        <v>257</v>
      </c>
      <c r="E39" s="277"/>
      <c r="F39" s="277"/>
      <c r="G39" s="277"/>
      <c r="H39" s="277"/>
      <c r="I39" s="277"/>
      <c r="J39" s="277"/>
      <c r="K39" s="277"/>
      <c r="L39" s="277"/>
      <c r="M39" s="277"/>
      <c r="N39" s="277"/>
      <c r="O39" s="277"/>
      <c r="P39" s="277"/>
      <c r="Q39" s="277"/>
      <c r="R39" s="277"/>
    </row>
    <row r="40" spans="1:18" x14ac:dyDescent="0.3">
      <c r="B40" s="11"/>
      <c r="D40" s="277" t="s">
        <v>258</v>
      </c>
      <c r="E40" s="277"/>
      <c r="F40" s="277"/>
      <c r="G40" s="277"/>
      <c r="H40" s="277"/>
      <c r="I40" s="277"/>
      <c r="J40" s="277"/>
      <c r="K40" s="277"/>
      <c r="L40" s="277"/>
      <c r="M40" s="277"/>
      <c r="N40" s="277"/>
      <c r="O40" s="277"/>
      <c r="P40" s="277"/>
      <c r="Q40" s="277"/>
      <c r="R40" s="277"/>
    </row>
    <row r="41" spans="1:18" x14ac:dyDescent="0.3">
      <c r="B41" s="11">
        <v>1</v>
      </c>
      <c r="C41" t="s">
        <v>259</v>
      </c>
      <c r="D41" s="277" t="s">
        <v>260</v>
      </c>
      <c r="E41" s="277"/>
      <c r="F41" s="277"/>
      <c r="G41" s="277"/>
      <c r="H41" s="277"/>
      <c r="I41" s="277"/>
      <c r="J41" s="277"/>
      <c r="K41" s="277"/>
      <c r="L41" s="277"/>
      <c r="M41" s="277"/>
      <c r="N41" s="277"/>
      <c r="O41" s="277"/>
      <c r="P41" s="277"/>
      <c r="Q41" s="277"/>
      <c r="R41" s="277"/>
    </row>
    <row r="42" spans="1:18" x14ac:dyDescent="0.3">
      <c r="B42" s="11"/>
      <c r="D42" s="102" t="s">
        <v>261</v>
      </c>
      <c r="E42" s="102"/>
      <c r="F42" s="102"/>
      <c r="G42" s="102"/>
      <c r="H42" s="102"/>
      <c r="I42" s="102"/>
      <c r="J42" s="102"/>
      <c r="K42" s="102"/>
      <c r="L42" s="102"/>
      <c r="M42" s="102"/>
      <c r="N42" s="102"/>
      <c r="O42" s="102"/>
      <c r="P42" s="102"/>
      <c r="Q42" s="102"/>
      <c r="R42" s="102"/>
    </row>
    <row r="45" spans="1:18" ht="30" customHeight="1" x14ac:dyDescent="0.3">
      <c r="A45" s="19">
        <f>B51*B53/B55</f>
        <v>21.056058163001293</v>
      </c>
      <c r="B45" t="s">
        <v>11</v>
      </c>
      <c r="C45" s="279" t="s">
        <v>29</v>
      </c>
      <c r="D45" s="279"/>
      <c r="E45" s="279"/>
      <c r="F45" s="279"/>
      <c r="G45" s="279"/>
      <c r="H45" s="279"/>
      <c r="I45" s="279"/>
      <c r="J45" s="279"/>
      <c r="K45" s="279"/>
      <c r="L45" s="279"/>
      <c r="M45" s="279"/>
      <c r="N45" s="279"/>
      <c r="O45" s="279"/>
      <c r="P45" s="279"/>
      <c r="Q45" s="279"/>
    </row>
    <row r="47" spans="1:18" x14ac:dyDescent="0.3">
      <c r="E47" s="20" t="s">
        <v>30</v>
      </c>
    </row>
    <row r="49" spans="2:17" x14ac:dyDescent="0.3">
      <c r="E49" s="20" t="s">
        <v>31</v>
      </c>
    </row>
    <row r="51" spans="2:17" ht="46.5" customHeight="1" x14ac:dyDescent="0.3">
      <c r="B51" s="21">
        <f>C86</f>
        <v>81381.664799999999</v>
      </c>
      <c r="C51" t="s">
        <v>32</v>
      </c>
      <c r="D51" s="279" t="s">
        <v>33</v>
      </c>
      <c r="E51" s="279"/>
      <c r="F51" s="279"/>
      <c r="G51" s="279"/>
      <c r="H51" s="279"/>
      <c r="I51" s="279"/>
      <c r="J51" s="279"/>
      <c r="K51" s="279"/>
      <c r="L51" s="279"/>
      <c r="M51" s="279"/>
      <c r="N51" s="279"/>
      <c r="O51" s="279"/>
      <c r="P51" s="279"/>
      <c r="Q51" s="279"/>
    </row>
    <row r="52" spans="2:17" s="2" customFormat="1" ht="7.5" customHeight="1" x14ac:dyDescent="0.3">
      <c r="D52" s="22"/>
      <c r="E52" s="22"/>
      <c r="F52" s="22"/>
      <c r="G52" s="22"/>
      <c r="H52" s="22"/>
      <c r="I52" s="22"/>
      <c r="J52" s="22"/>
      <c r="K52" s="22"/>
      <c r="L52" s="22"/>
      <c r="M52" s="22"/>
      <c r="N52" s="22"/>
      <c r="O52" s="22"/>
      <c r="P52" s="22"/>
      <c r="Q52" s="22"/>
    </row>
    <row r="53" spans="2:17" ht="32.25" customHeight="1" x14ac:dyDescent="0.3">
      <c r="B53" s="33">
        <v>1</v>
      </c>
      <c r="C53" t="s">
        <v>34</v>
      </c>
      <c r="D53" s="279" t="s">
        <v>35</v>
      </c>
      <c r="E53" s="279"/>
      <c r="F53" s="279"/>
      <c r="G53" s="279"/>
      <c r="H53" s="279"/>
      <c r="I53" s="279"/>
      <c r="J53" s="279"/>
      <c r="K53" s="279"/>
      <c r="L53" s="279"/>
      <c r="M53" s="279"/>
      <c r="N53" s="279"/>
      <c r="O53" s="279"/>
      <c r="P53" s="279"/>
      <c r="Q53" s="279"/>
    </row>
    <row r="54" spans="2:17" ht="6" customHeight="1" x14ac:dyDescent="0.3"/>
    <row r="55" spans="2:17" x14ac:dyDescent="0.3">
      <c r="B55" s="11">
        <v>3865</v>
      </c>
      <c r="C55" t="s">
        <v>36</v>
      </c>
      <c r="D55" s="20" t="s">
        <v>37</v>
      </c>
    </row>
    <row r="58" spans="2:17" x14ac:dyDescent="0.3">
      <c r="C58" s="23"/>
      <c r="D58" s="23"/>
      <c r="E58" s="23"/>
      <c r="F58" s="23"/>
    </row>
    <row r="59" spans="2:17" x14ac:dyDescent="0.3">
      <c r="B59" s="32" t="s">
        <v>46</v>
      </c>
      <c r="C59" s="23"/>
      <c r="D59" s="23"/>
      <c r="E59" s="23"/>
      <c r="F59" s="23"/>
    </row>
    <row r="60" spans="2:17" x14ac:dyDescent="0.3">
      <c r="B60">
        <v>2222</v>
      </c>
      <c r="C60" s="8">
        <f>Tame!C43</f>
        <v>2603.5300000000002</v>
      </c>
      <c r="D60" s="24" t="s">
        <v>38</v>
      </c>
    </row>
    <row r="61" spans="2:17" x14ac:dyDescent="0.3">
      <c r="B61">
        <v>2223</v>
      </c>
      <c r="C61" s="8">
        <f>Tame!C44</f>
        <v>12937.68</v>
      </c>
      <c r="D61" s="25" t="s">
        <v>39</v>
      </c>
    </row>
    <row r="62" spans="2:17" x14ac:dyDescent="0.3">
      <c r="B62">
        <v>2229</v>
      </c>
      <c r="C62" s="26">
        <f>Tame!C45</f>
        <v>0</v>
      </c>
      <c r="D62" s="27" t="s">
        <v>40</v>
      </c>
    </row>
    <row r="63" spans="2:17" x14ac:dyDescent="0.3">
      <c r="B63">
        <v>2239</v>
      </c>
      <c r="C63" s="26">
        <f>Tame!C50</f>
        <v>11755.06</v>
      </c>
      <c r="D63" s="27" t="s">
        <v>44</v>
      </c>
    </row>
    <row r="64" spans="2:17" x14ac:dyDescent="0.3">
      <c r="B64">
        <v>2241</v>
      </c>
      <c r="C64" s="26">
        <f>Tame!C52</f>
        <v>13118.66</v>
      </c>
      <c r="D64" s="23" t="s">
        <v>190</v>
      </c>
    </row>
    <row r="65" spans="1:7" x14ac:dyDescent="0.3">
      <c r="B65">
        <v>2243</v>
      </c>
      <c r="C65" s="26">
        <f>Tame!C53</f>
        <v>7580.91</v>
      </c>
      <c r="D65" s="27" t="s">
        <v>45</v>
      </c>
      <c r="E65" s="27"/>
    </row>
    <row r="66" spans="1:7" x14ac:dyDescent="0.3">
      <c r="B66">
        <v>2244</v>
      </c>
      <c r="C66" s="26">
        <f>Tame!C54</f>
        <v>11736.56</v>
      </c>
      <c r="D66" s="27" t="s">
        <v>47</v>
      </c>
    </row>
    <row r="67" spans="1:7" x14ac:dyDescent="0.3">
      <c r="B67">
        <v>2249</v>
      </c>
      <c r="C67" s="26">
        <f>Tame!C56</f>
        <v>1566.74</v>
      </c>
      <c r="D67" s="27" t="s">
        <v>41</v>
      </c>
    </row>
    <row r="68" spans="1:7" x14ac:dyDescent="0.3">
      <c r="B68">
        <v>2321</v>
      </c>
      <c r="C68" s="26">
        <f>Tame!C66</f>
        <v>40852.29</v>
      </c>
      <c r="D68" s="27" t="s">
        <v>42</v>
      </c>
    </row>
    <row r="69" spans="1:7" x14ac:dyDescent="0.3">
      <c r="B69">
        <v>2341</v>
      </c>
      <c r="C69" s="26">
        <f>Tame!C69</f>
        <v>0</v>
      </c>
      <c r="D69" s="27" t="s">
        <v>164</v>
      </c>
    </row>
    <row r="70" spans="1:7" x14ac:dyDescent="0.3">
      <c r="B70">
        <v>2350</v>
      </c>
      <c r="C70" s="26">
        <f>Tame!C70</f>
        <v>6169.92</v>
      </c>
      <c r="D70" s="27" t="s">
        <v>43</v>
      </c>
    </row>
    <row r="71" spans="1:7" x14ac:dyDescent="0.3">
      <c r="A71" s="30" t="s">
        <v>48</v>
      </c>
      <c r="B71" s="30"/>
      <c r="C71" s="31">
        <f>SUM(C60:C70)</f>
        <v>108321.34999999999</v>
      </c>
      <c r="D71" s="276"/>
      <c r="E71" s="276"/>
      <c r="F71" s="276"/>
      <c r="G71" s="276"/>
    </row>
    <row r="72" spans="1:7" x14ac:dyDescent="0.3">
      <c r="C72" s="28"/>
      <c r="D72" s="276"/>
      <c r="E72" s="276"/>
      <c r="F72" s="276"/>
      <c r="G72" s="276"/>
    </row>
    <row r="73" spans="1:7" x14ac:dyDescent="0.3">
      <c r="C73" s="64">
        <f>(550*3)*1.2409*12</f>
        <v>24569.82</v>
      </c>
      <c r="D73" s="65" t="s">
        <v>51</v>
      </c>
      <c r="E73" s="27"/>
      <c r="F73" s="27"/>
      <c r="G73" s="27"/>
    </row>
    <row r="74" spans="1:7" x14ac:dyDescent="0.3">
      <c r="A74" s="30" t="s">
        <v>274</v>
      </c>
      <c r="B74" s="30"/>
      <c r="C74" s="31">
        <f>SUM(C73:C73)</f>
        <v>24569.82</v>
      </c>
      <c r="D74" s="27"/>
      <c r="E74" s="27"/>
      <c r="F74" s="27"/>
      <c r="G74" s="27"/>
    </row>
    <row r="75" spans="1:7" x14ac:dyDescent="0.3">
      <c r="C75" s="28"/>
      <c r="D75" s="27"/>
      <c r="E75" s="27"/>
      <c r="F75" s="27"/>
      <c r="G75" s="27"/>
    </row>
    <row r="76" spans="1:7" x14ac:dyDescent="0.3">
      <c r="C76" s="46">
        <f>(2038+1482)*1.2409*9</f>
        <v>39311.712</v>
      </c>
      <c r="D76" s="65" t="s">
        <v>49</v>
      </c>
    </row>
    <row r="77" spans="1:7" x14ac:dyDescent="0.3">
      <c r="C77" s="45">
        <f>996*3*1.2409*9</f>
        <v>33370.282800000001</v>
      </c>
      <c r="D77" s="65" t="s">
        <v>50</v>
      </c>
      <c r="E77" s="27"/>
      <c r="F77" s="27"/>
      <c r="G77" s="27"/>
    </row>
    <row r="78" spans="1:7" x14ac:dyDescent="0.3">
      <c r="B78">
        <v>2211</v>
      </c>
      <c r="C78">
        <f>Tame!C41</f>
        <v>1989.39</v>
      </c>
      <c r="D78" t="s">
        <v>292</v>
      </c>
    </row>
    <row r="79" spans="1:7" x14ac:dyDescent="0.3">
      <c r="B79">
        <v>2234</v>
      </c>
      <c r="C79">
        <f>Tame!C48</f>
        <v>323.55</v>
      </c>
      <c r="D79" s="27" t="s">
        <v>54</v>
      </c>
    </row>
    <row r="80" spans="1:7" x14ac:dyDescent="0.3">
      <c r="B80">
        <v>2236</v>
      </c>
      <c r="C80">
        <f>Tame!C49</f>
        <v>0</v>
      </c>
      <c r="D80" s="27" t="s">
        <v>53</v>
      </c>
    </row>
    <row r="81" spans="1:4" x14ac:dyDescent="0.3">
      <c r="B81">
        <v>2264</v>
      </c>
      <c r="C81">
        <f>Tame!C58</f>
        <v>583.01</v>
      </c>
      <c r="D81" s="27" t="s">
        <v>55</v>
      </c>
    </row>
    <row r="82" spans="1:4" x14ac:dyDescent="0.3">
      <c r="B82">
        <v>2311</v>
      </c>
      <c r="C82">
        <f>Tame!C63</f>
        <v>514.11</v>
      </c>
      <c r="D82" s="27" t="s">
        <v>56</v>
      </c>
    </row>
    <row r="83" spans="1:4" x14ac:dyDescent="0.3">
      <c r="B83">
        <v>2312</v>
      </c>
      <c r="C83">
        <f>Tame!C64</f>
        <v>3891.2</v>
      </c>
      <c r="D83" s="27" t="s">
        <v>57</v>
      </c>
    </row>
    <row r="84" spans="1:4" x14ac:dyDescent="0.3">
      <c r="B84">
        <v>2322</v>
      </c>
      <c r="D84" s="27" t="s">
        <v>160</v>
      </c>
    </row>
    <row r="85" spans="1:4" x14ac:dyDescent="0.3">
      <c r="B85">
        <v>2390</v>
      </c>
      <c r="C85">
        <f>Tame!C71</f>
        <v>1398.41</v>
      </c>
    </row>
    <row r="86" spans="1:4" x14ac:dyDescent="0.3">
      <c r="A86" s="30" t="s">
        <v>275</v>
      </c>
      <c r="B86" s="30"/>
      <c r="C86" s="31">
        <f>SUM(C76:C85)</f>
        <v>81381.664799999999</v>
      </c>
    </row>
  </sheetData>
  <mergeCells count="20">
    <mergeCell ref="E3:E4"/>
    <mergeCell ref="C45:Q45"/>
    <mergeCell ref="D51:Q51"/>
    <mergeCell ref="D53:Q53"/>
    <mergeCell ref="D71:G71"/>
    <mergeCell ref="D72:G72"/>
    <mergeCell ref="D21:R21"/>
    <mergeCell ref="D22:R22"/>
    <mergeCell ref="D23:R23"/>
    <mergeCell ref="D24:R24"/>
    <mergeCell ref="D38:R38"/>
    <mergeCell ref="D39:R39"/>
    <mergeCell ref="D40:R40"/>
    <mergeCell ref="D41:R41"/>
    <mergeCell ref="D25:R25"/>
    <mergeCell ref="D26:R26"/>
    <mergeCell ref="D28:R28"/>
    <mergeCell ref="D35:R35"/>
    <mergeCell ref="D36:R36"/>
    <mergeCell ref="D37:R37"/>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0"/>
  <sheetViews>
    <sheetView workbookViewId="0">
      <selection activeCell="M3" sqref="M3"/>
    </sheetView>
  </sheetViews>
  <sheetFormatPr defaultRowHeight="14.4" x14ac:dyDescent="0.3"/>
  <cols>
    <col min="1" max="1" width="14.88671875" customWidth="1"/>
    <col min="2" max="2" width="12.88671875" bestFit="1" customWidth="1"/>
    <col min="3" max="3" width="10.44140625" bestFit="1" customWidth="1"/>
    <col min="4" max="4" width="26.6640625" customWidth="1"/>
    <col min="6" max="6" width="13.44140625" customWidth="1"/>
    <col min="11" max="11" width="10.88671875" customWidth="1"/>
    <col min="12" max="12" width="10" bestFit="1" customWidth="1"/>
  </cols>
  <sheetData>
    <row r="1" spans="1:15" x14ac:dyDescent="0.3">
      <c r="A1" s="1" t="s">
        <v>0</v>
      </c>
    </row>
    <row r="2" spans="1:15" x14ac:dyDescent="0.3">
      <c r="A2" s="147" t="s">
        <v>297</v>
      </c>
      <c r="C2" s="2"/>
      <c r="D2" s="2"/>
      <c r="E2" s="2"/>
      <c r="F2" s="54"/>
      <c r="G2" s="54"/>
      <c r="H2" s="54"/>
      <c r="I2" s="55" t="s">
        <v>58</v>
      </c>
      <c r="K2" s="50" t="s">
        <v>58</v>
      </c>
      <c r="L2" s="35" t="s">
        <v>59</v>
      </c>
      <c r="M2" s="35" t="s">
        <v>317</v>
      </c>
    </row>
    <row r="3" spans="1:15" ht="15" thickBot="1" x14ac:dyDescent="0.35">
      <c r="B3" s="11">
        <f>((A12/B6+B10)*B8)/12</f>
        <v>7287.2499178692415</v>
      </c>
      <c r="C3" s="4" t="s">
        <v>1</v>
      </c>
      <c r="D3" s="5" t="s">
        <v>2</v>
      </c>
      <c r="E3" s="278" t="s">
        <v>3</v>
      </c>
      <c r="F3" s="56"/>
      <c r="G3" s="54"/>
      <c r="H3" s="57" t="s">
        <v>4</v>
      </c>
      <c r="I3" s="58">
        <f>B3/B8</f>
        <v>1.0121180441485058</v>
      </c>
      <c r="K3" s="51">
        <f>I3*B8</f>
        <v>7287.2499178692415</v>
      </c>
      <c r="L3" s="36">
        <f>K3/31</f>
        <v>235.07257799578198</v>
      </c>
      <c r="M3" s="36">
        <f>L3/6</f>
        <v>39.178762999297</v>
      </c>
    </row>
    <row r="4" spans="1:15" x14ac:dyDescent="0.3">
      <c r="B4" s="6" t="s">
        <v>5</v>
      </c>
      <c r="C4" s="4"/>
      <c r="D4" s="9">
        <v>12</v>
      </c>
      <c r="E4" s="278"/>
      <c r="F4" s="56"/>
      <c r="G4" s="54"/>
      <c r="H4" s="57" t="s">
        <v>6</v>
      </c>
      <c r="I4" s="59">
        <f>I3*1.21</f>
        <v>1.2246628334196921</v>
      </c>
      <c r="K4" s="51">
        <f>I4*B8</f>
        <v>8817.5724006217824</v>
      </c>
      <c r="L4" s="36">
        <f>K4/31</f>
        <v>284.43781937489621</v>
      </c>
      <c r="M4" s="111">
        <f>L4/5</f>
        <v>56.887563874979243</v>
      </c>
      <c r="N4" s="37"/>
    </row>
    <row r="5" spans="1:15" x14ac:dyDescent="0.3">
      <c r="C5" s="2"/>
      <c r="D5" s="2"/>
      <c r="E5" s="2"/>
    </row>
    <row r="6" spans="1:15" x14ac:dyDescent="0.3">
      <c r="B6" s="47">
        <v>7200</v>
      </c>
      <c r="C6" t="s">
        <v>7</v>
      </c>
      <c r="D6" s="12" t="s">
        <v>8</v>
      </c>
    </row>
    <row r="7" spans="1:15" x14ac:dyDescent="0.3">
      <c r="B7" s="8"/>
      <c r="D7" s="12"/>
      <c r="O7" s="37"/>
    </row>
    <row r="8" spans="1:15" x14ac:dyDescent="0.3">
      <c r="A8" s="13">
        <f>B8/B6</f>
        <v>1</v>
      </c>
      <c r="B8" s="47">
        <v>7200</v>
      </c>
      <c r="C8" t="s">
        <v>9</v>
      </c>
      <c r="D8" s="14" t="s">
        <v>10</v>
      </c>
      <c r="E8" s="14"/>
    </row>
    <row r="9" spans="1:15" x14ac:dyDescent="0.3">
      <c r="B9" s="8"/>
      <c r="D9" s="12"/>
    </row>
    <row r="10" spans="1:15" x14ac:dyDescent="0.3">
      <c r="B10" s="11">
        <f>A42</f>
        <v>0.67499986311540283</v>
      </c>
      <c r="C10" t="s">
        <v>11</v>
      </c>
      <c r="D10" s="14" t="s">
        <v>12</v>
      </c>
    </row>
    <row r="11" spans="1:15" x14ac:dyDescent="0.3">
      <c r="C11" s="14"/>
    </row>
    <row r="12" spans="1:15" x14ac:dyDescent="0.3">
      <c r="A12" s="11">
        <f>B19+B24+B26+B28+B30+B31+B32</f>
        <v>82587</v>
      </c>
      <c r="B12" t="s">
        <v>13</v>
      </c>
      <c r="C12" t="s">
        <v>14</v>
      </c>
    </row>
    <row r="14" spans="1:15" x14ac:dyDescent="0.3">
      <c r="D14" s="12" t="s">
        <v>15</v>
      </c>
    </row>
    <row r="15" spans="1:15" x14ac:dyDescent="0.3">
      <c r="D15" s="15"/>
    </row>
    <row r="16" spans="1:15" x14ac:dyDescent="0.3">
      <c r="D16" s="16" t="s">
        <v>273</v>
      </c>
    </row>
    <row r="17" spans="1:18" x14ac:dyDescent="0.3">
      <c r="D17" s="17"/>
    </row>
    <row r="18" spans="1:18" x14ac:dyDescent="0.3">
      <c r="D18" s="18" t="s">
        <v>16</v>
      </c>
    </row>
    <row r="19" spans="1:18" x14ac:dyDescent="0.3">
      <c r="B19" s="161">
        <v>63242</v>
      </c>
      <c r="C19" t="s">
        <v>17</v>
      </c>
      <c r="D19" s="277" t="s">
        <v>243</v>
      </c>
      <c r="E19" s="277"/>
      <c r="F19" s="277"/>
      <c r="G19" s="277"/>
      <c r="H19" s="277"/>
      <c r="I19" s="277"/>
      <c r="J19" s="277"/>
      <c r="K19" s="277"/>
      <c r="L19" s="277"/>
      <c r="M19" s="277"/>
      <c r="N19" s="277"/>
      <c r="O19" s="277"/>
      <c r="P19" s="277"/>
      <c r="Q19" s="277"/>
      <c r="R19" s="277"/>
    </row>
    <row r="20" spans="1:18" x14ac:dyDescent="0.3">
      <c r="B20" s="11"/>
      <c r="D20" s="277" t="s">
        <v>244</v>
      </c>
      <c r="E20" s="277"/>
      <c r="F20" s="277"/>
      <c r="G20" s="277"/>
      <c r="H20" s="277"/>
      <c r="I20" s="277"/>
      <c r="J20" s="277"/>
      <c r="K20" s="277"/>
      <c r="L20" s="277"/>
      <c r="M20" s="277"/>
      <c r="N20" s="277"/>
      <c r="O20" s="277"/>
      <c r="P20" s="277"/>
      <c r="Q20" s="277"/>
      <c r="R20" s="277"/>
    </row>
    <row r="21" spans="1:18" x14ac:dyDescent="0.3">
      <c r="B21" s="11"/>
      <c r="D21" s="277" t="s">
        <v>245</v>
      </c>
      <c r="E21" s="277"/>
      <c r="F21" s="277"/>
      <c r="G21" s="277"/>
      <c r="H21" s="277"/>
      <c r="I21" s="277"/>
      <c r="J21" s="277"/>
      <c r="K21" s="277"/>
      <c r="L21" s="277"/>
      <c r="M21" s="277"/>
      <c r="N21" s="277"/>
      <c r="O21" s="277"/>
      <c r="P21" s="277"/>
      <c r="Q21" s="277"/>
      <c r="R21" s="277"/>
    </row>
    <row r="22" spans="1:18" x14ac:dyDescent="0.3">
      <c r="A22" s="35" t="s">
        <v>17</v>
      </c>
      <c r="B22" s="11"/>
      <c r="D22" s="277" t="s">
        <v>246</v>
      </c>
      <c r="E22" s="277"/>
      <c r="F22" s="277"/>
      <c r="G22" s="277"/>
      <c r="H22" s="277"/>
      <c r="I22" s="277"/>
      <c r="J22" s="277"/>
      <c r="K22" s="277"/>
      <c r="L22" s="277"/>
      <c r="M22" s="277"/>
      <c r="N22" s="277"/>
      <c r="O22" s="277"/>
      <c r="P22" s="277"/>
      <c r="Q22" s="277"/>
      <c r="R22" s="277"/>
    </row>
    <row r="23" spans="1:18" x14ac:dyDescent="0.3">
      <c r="B23" s="8"/>
      <c r="D23" s="277" t="s">
        <v>247</v>
      </c>
      <c r="E23" s="277"/>
      <c r="F23" s="277"/>
      <c r="G23" s="277"/>
      <c r="H23" s="277"/>
      <c r="I23" s="277"/>
      <c r="J23" s="277"/>
      <c r="K23" s="277"/>
      <c r="L23" s="277"/>
      <c r="M23" s="277"/>
      <c r="N23" s="277"/>
      <c r="O23" s="277"/>
      <c r="P23" s="277"/>
      <c r="Q23" s="277"/>
      <c r="R23" s="277"/>
    </row>
    <row r="24" spans="1:18" x14ac:dyDescent="0.3">
      <c r="B24" s="11">
        <v>10800</v>
      </c>
      <c r="C24" t="s">
        <v>18</v>
      </c>
      <c r="D24" s="277" t="s">
        <v>248</v>
      </c>
      <c r="E24" s="277"/>
      <c r="F24" s="277"/>
      <c r="G24" s="277"/>
      <c r="H24" s="277"/>
      <c r="I24" s="277"/>
      <c r="J24" s="277"/>
      <c r="K24" s="277"/>
      <c r="L24" s="277"/>
      <c r="M24" s="277"/>
      <c r="N24" s="277"/>
      <c r="O24" s="277"/>
      <c r="P24" s="277"/>
      <c r="Q24" s="277"/>
      <c r="R24" s="277"/>
    </row>
    <row r="25" spans="1:18" x14ac:dyDescent="0.3">
      <c r="B25" s="8"/>
      <c r="D25" t="s">
        <v>249</v>
      </c>
    </row>
    <row r="26" spans="1:18" x14ac:dyDescent="0.3">
      <c r="B26" s="48">
        <v>8545</v>
      </c>
      <c r="C26" t="s">
        <v>19</v>
      </c>
      <c r="D26" s="277" t="s">
        <v>250</v>
      </c>
      <c r="E26" s="277"/>
      <c r="F26" s="277"/>
      <c r="G26" s="277"/>
      <c r="H26" s="277"/>
      <c r="I26" s="277"/>
      <c r="J26" s="277"/>
      <c r="K26" s="277"/>
      <c r="L26" s="277"/>
      <c r="M26" s="277"/>
      <c r="N26" s="277"/>
      <c r="O26" s="277"/>
      <c r="P26" s="277"/>
      <c r="Q26" s="277"/>
      <c r="R26" s="277"/>
    </row>
    <row r="27" spans="1:18" x14ac:dyDescent="0.3">
      <c r="B27" s="8"/>
      <c r="D27" t="s">
        <v>251</v>
      </c>
    </row>
    <row r="28" spans="1:18" x14ac:dyDescent="0.3">
      <c r="B28" s="48">
        <f>Tame!C83</f>
        <v>0</v>
      </c>
      <c r="C28" t="s">
        <v>20</v>
      </c>
      <c r="D28" t="s">
        <v>21</v>
      </c>
    </row>
    <row r="29" spans="1:18" x14ac:dyDescent="0.3">
      <c r="B29" s="8"/>
      <c r="D29" t="s">
        <v>22</v>
      </c>
    </row>
    <row r="30" spans="1:18" x14ac:dyDescent="0.3">
      <c r="B30" s="11">
        <f>Tame!C55</f>
        <v>0</v>
      </c>
      <c r="C30" t="s">
        <v>23</v>
      </c>
      <c r="D30" t="s">
        <v>24</v>
      </c>
    </row>
    <row r="31" spans="1:18" x14ac:dyDescent="0.3">
      <c r="B31" s="48">
        <v>0</v>
      </c>
      <c r="C31" t="s">
        <v>25</v>
      </c>
      <c r="D31" t="s">
        <v>26</v>
      </c>
    </row>
    <row r="32" spans="1:18" x14ac:dyDescent="0.3">
      <c r="B32" s="11"/>
      <c r="C32" t="s">
        <v>27</v>
      </c>
      <c r="D32" t="s">
        <v>28</v>
      </c>
    </row>
    <row r="33" spans="1:18" x14ac:dyDescent="0.3">
      <c r="B33" s="11">
        <v>0</v>
      </c>
      <c r="C33" t="s">
        <v>252</v>
      </c>
      <c r="D33" s="277" t="s">
        <v>253</v>
      </c>
      <c r="E33" s="277"/>
      <c r="F33" s="277"/>
      <c r="G33" s="277"/>
      <c r="H33" s="277"/>
      <c r="I33" s="277"/>
      <c r="J33" s="277"/>
      <c r="K33" s="277"/>
      <c r="L33" s="277"/>
      <c r="M33" s="277"/>
      <c r="N33" s="277"/>
      <c r="O33" s="277"/>
      <c r="P33" s="277"/>
      <c r="Q33" s="277"/>
      <c r="R33" s="277"/>
    </row>
    <row r="34" spans="1:18" x14ac:dyDescent="0.3">
      <c r="B34" s="11"/>
      <c r="D34" s="277" t="s">
        <v>254</v>
      </c>
      <c r="E34" s="277"/>
      <c r="F34" s="277"/>
      <c r="G34" s="277"/>
      <c r="H34" s="277"/>
      <c r="I34" s="277"/>
      <c r="J34" s="277"/>
      <c r="K34" s="277"/>
      <c r="L34" s="277"/>
      <c r="M34" s="277"/>
      <c r="N34" s="277"/>
      <c r="O34" s="277"/>
      <c r="P34" s="277"/>
      <c r="Q34" s="277"/>
      <c r="R34" s="277"/>
    </row>
    <row r="35" spans="1:18" x14ac:dyDescent="0.3">
      <c r="B35" s="11"/>
      <c r="D35" s="277" t="s">
        <v>255</v>
      </c>
      <c r="E35" s="277"/>
      <c r="F35" s="277"/>
      <c r="G35" s="277"/>
      <c r="H35" s="277"/>
      <c r="I35" s="277"/>
      <c r="J35" s="277"/>
      <c r="K35" s="277"/>
      <c r="L35" s="277"/>
      <c r="M35" s="277"/>
      <c r="N35" s="277"/>
      <c r="O35" s="277"/>
      <c r="P35" s="277"/>
      <c r="Q35" s="277"/>
      <c r="R35" s="277"/>
    </row>
    <row r="36" spans="1:18" x14ac:dyDescent="0.3">
      <c r="B36" s="11"/>
      <c r="D36" s="277" t="s">
        <v>256</v>
      </c>
      <c r="E36" s="277"/>
      <c r="F36" s="277"/>
      <c r="G36" s="277"/>
      <c r="H36" s="277"/>
      <c r="I36" s="277"/>
      <c r="J36" s="277"/>
      <c r="K36" s="277"/>
      <c r="L36" s="277"/>
      <c r="M36" s="277"/>
      <c r="N36" s="277"/>
      <c r="O36" s="277"/>
      <c r="P36" s="277"/>
      <c r="Q36" s="277"/>
      <c r="R36" s="277"/>
    </row>
    <row r="37" spans="1:18" x14ac:dyDescent="0.3">
      <c r="B37" s="11"/>
      <c r="D37" s="277" t="s">
        <v>257</v>
      </c>
      <c r="E37" s="277"/>
      <c r="F37" s="277"/>
      <c r="G37" s="277"/>
      <c r="H37" s="277"/>
      <c r="I37" s="277"/>
      <c r="J37" s="277"/>
      <c r="K37" s="277"/>
      <c r="L37" s="277"/>
      <c r="M37" s="277"/>
      <c r="N37" s="277"/>
      <c r="O37" s="277"/>
      <c r="P37" s="277"/>
      <c r="Q37" s="277"/>
      <c r="R37" s="277"/>
    </row>
    <row r="38" spans="1:18" x14ac:dyDescent="0.3">
      <c r="B38" s="11"/>
      <c r="D38" s="277" t="s">
        <v>258</v>
      </c>
      <c r="E38" s="277"/>
      <c r="F38" s="277"/>
      <c r="G38" s="277"/>
      <c r="H38" s="277"/>
      <c r="I38" s="277"/>
      <c r="J38" s="277"/>
      <c r="K38" s="277"/>
      <c r="L38" s="277"/>
      <c r="M38" s="277"/>
      <c r="N38" s="277"/>
      <c r="O38" s="277"/>
      <c r="P38" s="277"/>
      <c r="Q38" s="277"/>
      <c r="R38" s="277"/>
    </row>
    <row r="39" spans="1:18" x14ac:dyDescent="0.3">
      <c r="B39" s="11">
        <v>1</v>
      </c>
      <c r="C39" t="s">
        <v>259</v>
      </c>
      <c r="D39" s="277" t="s">
        <v>260</v>
      </c>
      <c r="E39" s="277"/>
      <c r="F39" s="277"/>
      <c r="G39" s="277"/>
      <c r="H39" s="277"/>
      <c r="I39" s="277"/>
      <c r="J39" s="277"/>
      <c r="K39" s="277"/>
      <c r="L39" s="277"/>
      <c r="M39" s="277"/>
      <c r="N39" s="277"/>
      <c r="O39" s="277"/>
      <c r="P39" s="277"/>
      <c r="Q39" s="277"/>
      <c r="R39" s="277"/>
    </row>
    <row r="40" spans="1:18" x14ac:dyDescent="0.3">
      <c r="B40" s="11"/>
      <c r="D40" s="159" t="s">
        <v>261</v>
      </c>
      <c r="E40" s="159"/>
      <c r="F40" s="159"/>
      <c r="G40" s="159"/>
      <c r="H40" s="159"/>
      <c r="I40" s="159"/>
      <c r="J40" s="159"/>
      <c r="K40" s="159"/>
      <c r="L40" s="159"/>
      <c r="M40" s="159"/>
      <c r="N40" s="159"/>
      <c r="O40" s="159"/>
      <c r="P40" s="159"/>
      <c r="Q40" s="159"/>
      <c r="R40" s="159"/>
    </row>
    <row r="42" spans="1:18" ht="30" customHeight="1" x14ac:dyDescent="0.3">
      <c r="A42" s="19">
        <f>B46*B48/B50</f>
        <v>0.67499986311540283</v>
      </c>
      <c r="B42" t="s">
        <v>11</v>
      </c>
      <c r="C42" s="279" t="s">
        <v>29</v>
      </c>
      <c r="D42" s="279"/>
      <c r="E42" s="279"/>
      <c r="F42" s="279"/>
      <c r="G42" s="279"/>
      <c r="H42" s="279"/>
      <c r="I42" s="279"/>
      <c r="J42" s="279"/>
      <c r="K42" s="279"/>
      <c r="L42" s="279"/>
      <c r="M42" s="279"/>
      <c r="N42" s="279"/>
      <c r="O42" s="279"/>
      <c r="P42" s="279"/>
      <c r="Q42" s="279"/>
    </row>
    <row r="44" spans="1:18" x14ac:dyDescent="0.3">
      <c r="E44" s="20" t="s">
        <v>30</v>
      </c>
    </row>
    <row r="45" spans="1:18" x14ac:dyDescent="0.3">
      <c r="E45" s="20" t="s">
        <v>31</v>
      </c>
    </row>
    <row r="46" spans="1:18" ht="46.5" customHeight="1" x14ac:dyDescent="0.3">
      <c r="B46" s="21">
        <v>24500</v>
      </c>
      <c r="C46" t="s">
        <v>32</v>
      </c>
      <c r="D46" s="279" t="s">
        <v>33</v>
      </c>
      <c r="E46" s="279"/>
      <c r="F46" s="279"/>
      <c r="G46" s="279"/>
      <c r="H46" s="279"/>
      <c r="I46" s="279"/>
      <c r="J46" s="279"/>
      <c r="K46" s="279"/>
      <c r="L46" s="279"/>
      <c r="M46" s="279"/>
      <c r="N46" s="279"/>
      <c r="O46" s="279"/>
      <c r="P46" s="279"/>
      <c r="Q46" s="279"/>
    </row>
    <row r="47" spans="1:18" s="2" customFormat="1" ht="7.5" customHeight="1" x14ac:dyDescent="0.3">
      <c r="D47" s="22"/>
      <c r="E47" s="22"/>
      <c r="F47" s="22"/>
      <c r="G47" s="22"/>
      <c r="H47" s="22"/>
      <c r="I47" s="22"/>
      <c r="J47" s="22"/>
      <c r="K47" s="22"/>
      <c r="L47" s="22"/>
      <c r="M47" s="22"/>
      <c r="N47" s="22"/>
      <c r="O47" s="22"/>
      <c r="P47" s="22"/>
      <c r="Q47" s="22"/>
    </row>
    <row r="48" spans="1:18" ht="32.25" customHeight="1" x14ac:dyDescent="0.3">
      <c r="B48" s="19">
        <f>(C71-C71*0.1)/F71</f>
        <v>0.17908159633673951</v>
      </c>
      <c r="C48" t="s">
        <v>34</v>
      </c>
      <c r="D48" s="279" t="s">
        <v>35</v>
      </c>
      <c r="E48" s="279"/>
      <c r="F48" s="279"/>
      <c r="G48" s="279"/>
      <c r="H48" s="279"/>
      <c r="I48" s="279"/>
      <c r="J48" s="279"/>
      <c r="K48" s="279"/>
      <c r="L48" s="279"/>
      <c r="M48" s="279"/>
      <c r="N48" s="279"/>
      <c r="O48" s="279"/>
      <c r="P48" s="279"/>
      <c r="Q48" s="279"/>
    </row>
    <row r="50" spans="1:6" x14ac:dyDescent="0.3">
      <c r="B50" s="33">
        <v>6500</v>
      </c>
      <c r="C50" t="s">
        <v>36</v>
      </c>
      <c r="D50" s="20" t="s">
        <v>37</v>
      </c>
    </row>
    <row r="53" spans="1:6" x14ac:dyDescent="0.3">
      <c r="C53" s="23"/>
      <c r="D53" s="23"/>
      <c r="E53" s="23"/>
      <c r="F53" s="23"/>
    </row>
    <row r="54" spans="1:6" x14ac:dyDescent="0.3">
      <c r="B54" s="32" t="s">
        <v>46</v>
      </c>
      <c r="C54" s="23"/>
      <c r="D54" s="23"/>
      <c r="E54" s="23"/>
      <c r="F54" s="23"/>
    </row>
    <row r="55" spans="1:6" x14ac:dyDescent="0.3">
      <c r="A55" s="30"/>
      <c r="B55">
        <v>2222</v>
      </c>
      <c r="C55" s="8">
        <v>3800</v>
      </c>
      <c r="D55" s="24" t="s">
        <v>38</v>
      </c>
    </row>
    <row r="56" spans="1:6" x14ac:dyDescent="0.3">
      <c r="B56">
        <v>2223</v>
      </c>
      <c r="C56" s="8">
        <v>12500</v>
      </c>
      <c r="D56" s="25" t="s">
        <v>39</v>
      </c>
    </row>
    <row r="57" spans="1:6" x14ac:dyDescent="0.3">
      <c r="B57">
        <v>2229</v>
      </c>
      <c r="C57" s="26">
        <f>Tame!C45</f>
        <v>0</v>
      </c>
      <c r="D57" s="160" t="s">
        <v>40</v>
      </c>
    </row>
    <row r="58" spans="1:6" x14ac:dyDescent="0.3">
      <c r="B58">
        <v>2239</v>
      </c>
      <c r="C58" s="26"/>
      <c r="D58" s="160" t="s">
        <v>44</v>
      </c>
    </row>
    <row r="59" spans="1:6" x14ac:dyDescent="0.3">
      <c r="B59">
        <v>2241</v>
      </c>
      <c r="C59" s="26">
        <v>11585</v>
      </c>
      <c r="D59" s="23" t="s">
        <v>190</v>
      </c>
    </row>
    <row r="60" spans="1:6" x14ac:dyDescent="0.3">
      <c r="B60">
        <v>2243</v>
      </c>
      <c r="C60" s="26">
        <v>9652</v>
      </c>
      <c r="D60" s="160" t="s">
        <v>45</v>
      </c>
      <c r="E60" s="160"/>
    </row>
    <row r="61" spans="1:6" x14ac:dyDescent="0.3">
      <c r="B61">
        <v>2244</v>
      </c>
      <c r="C61" s="26">
        <v>12250</v>
      </c>
      <c r="D61" s="160" t="s">
        <v>293</v>
      </c>
    </row>
    <row r="62" spans="1:6" x14ac:dyDescent="0.3">
      <c r="B62">
        <v>2249</v>
      </c>
      <c r="C62" s="26">
        <v>5805</v>
      </c>
      <c r="D62" s="160" t="s">
        <v>41</v>
      </c>
    </row>
    <row r="63" spans="1:6" x14ac:dyDescent="0.3">
      <c r="B63">
        <v>2321</v>
      </c>
      <c r="C63" s="26"/>
      <c r="D63" s="160" t="s">
        <v>42</v>
      </c>
    </row>
    <row r="64" spans="1:6" x14ac:dyDescent="0.3">
      <c r="B64">
        <v>2341</v>
      </c>
      <c r="C64" s="26">
        <v>750</v>
      </c>
      <c r="D64" s="160" t="s">
        <v>164</v>
      </c>
    </row>
    <row r="65" spans="1:7" x14ac:dyDescent="0.3">
      <c r="B65">
        <v>2350</v>
      </c>
      <c r="C65" s="26">
        <v>6900</v>
      </c>
      <c r="D65" s="160" t="s">
        <v>43</v>
      </c>
    </row>
    <row r="66" spans="1:7" x14ac:dyDescent="0.3">
      <c r="A66" s="30" t="s">
        <v>48</v>
      </c>
      <c r="B66" s="30"/>
      <c r="C66" s="31">
        <f>SUM(C55:C65)</f>
        <v>63242</v>
      </c>
      <c r="D66" s="276"/>
      <c r="E66" s="276"/>
      <c r="F66" s="276"/>
      <c r="G66" s="276"/>
    </row>
    <row r="67" spans="1:7" x14ac:dyDescent="0.3">
      <c r="C67" s="28"/>
      <c r="D67" s="276"/>
      <c r="E67" s="276"/>
      <c r="F67" s="276"/>
      <c r="G67" s="276"/>
    </row>
    <row r="68" spans="1:7" x14ac:dyDescent="0.3">
      <c r="C68" s="64">
        <f>688*1.2409*12*0.7</f>
        <v>7171.4092799999999</v>
      </c>
      <c r="D68" s="160" t="s">
        <v>295</v>
      </c>
      <c r="E68" s="49"/>
      <c r="F68" s="160"/>
      <c r="G68" s="160"/>
    </row>
    <row r="69" spans="1:7" x14ac:dyDescent="0.3">
      <c r="A69" s="30" t="s">
        <v>274</v>
      </c>
      <c r="B69" s="30"/>
      <c r="C69" s="31">
        <v>10800</v>
      </c>
      <c r="D69" s="160"/>
      <c r="E69" s="160"/>
      <c r="F69" s="160"/>
      <c r="G69" s="160"/>
    </row>
    <row r="70" spans="1:7" x14ac:dyDescent="0.3">
      <c r="C70" s="28"/>
      <c r="D70" s="160"/>
      <c r="E70" s="160"/>
      <c r="F70" s="160"/>
      <c r="G70" s="160"/>
    </row>
    <row r="71" spans="1:7" x14ac:dyDescent="0.3">
      <c r="C71" s="46">
        <f>(2038+1725)*1.2409*12*0.5</f>
        <v>28017.040199999999</v>
      </c>
      <c r="D71" s="65" t="s">
        <v>312</v>
      </c>
      <c r="F71" s="165">
        <f>(9494)*1.2359*12</f>
        <v>140803.6152</v>
      </c>
      <c r="G71" t="s">
        <v>191</v>
      </c>
    </row>
    <row r="72" spans="1:7" x14ac:dyDescent="0.3">
      <c r="B72">
        <v>2211</v>
      </c>
      <c r="C72">
        <v>380</v>
      </c>
      <c r="D72" t="s">
        <v>292</v>
      </c>
    </row>
    <row r="73" spans="1:7" x14ac:dyDescent="0.3">
      <c r="B73">
        <v>2234</v>
      </c>
      <c r="C73">
        <v>100</v>
      </c>
      <c r="D73" s="160" t="s">
        <v>54</v>
      </c>
    </row>
    <row r="74" spans="1:7" x14ac:dyDescent="0.3">
      <c r="B74">
        <v>2236</v>
      </c>
      <c r="C74">
        <f>Tame!C49</f>
        <v>0</v>
      </c>
      <c r="D74" s="160" t="s">
        <v>53</v>
      </c>
    </row>
    <row r="75" spans="1:7" x14ac:dyDescent="0.3">
      <c r="B75">
        <v>2264</v>
      </c>
      <c r="D75" s="160" t="s">
        <v>55</v>
      </c>
    </row>
    <row r="76" spans="1:7" x14ac:dyDescent="0.3">
      <c r="B76">
        <v>2311</v>
      </c>
      <c r="C76">
        <v>250</v>
      </c>
      <c r="D76" s="160" t="s">
        <v>56</v>
      </c>
    </row>
    <row r="77" spans="1:7" x14ac:dyDescent="0.3">
      <c r="B77">
        <v>2312</v>
      </c>
      <c r="C77">
        <v>3840</v>
      </c>
      <c r="D77" s="160" t="s">
        <v>57</v>
      </c>
    </row>
    <row r="78" spans="1:7" x14ac:dyDescent="0.3">
      <c r="B78">
        <v>2322</v>
      </c>
      <c r="C78">
        <v>2655</v>
      </c>
      <c r="D78" s="160" t="s">
        <v>160</v>
      </c>
    </row>
    <row r="79" spans="1:7" x14ac:dyDescent="0.3">
      <c r="B79">
        <v>2390</v>
      </c>
      <c r="C79">
        <f>Tame!C71</f>
        <v>1398.41</v>
      </c>
    </row>
    <row r="80" spans="1:7" x14ac:dyDescent="0.3">
      <c r="A80" s="30" t="s">
        <v>275</v>
      </c>
      <c r="B80" s="30"/>
      <c r="C80" s="31">
        <f>SUM(C71:C79)</f>
        <v>36640.450200000007</v>
      </c>
    </row>
  </sheetData>
  <mergeCells count="20">
    <mergeCell ref="D36:R36"/>
    <mergeCell ref="E3:E4"/>
    <mergeCell ref="D19:R19"/>
    <mergeCell ref="D20:R20"/>
    <mergeCell ref="D21:R21"/>
    <mergeCell ref="D22:R22"/>
    <mergeCell ref="D23:R23"/>
    <mergeCell ref="D24:R24"/>
    <mergeCell ref="D26:R26"/>
    <mergeCell ref="D33:R33"/>
    <mergeCell ref="D34:R34"/>
    <mergeCell ref="D35:R35"/>
    <mergeCell ref="D66:G66"/>
    <mergeCell ref="D67:G67"/>
    <mergeCell ref="D37:R37"/>
    <mergeCell ref="D38:R38"/>
    <mergeCell ref="D39:R39"/>
    <mergeCell ref="C42:Q42"/>
    <mergeCell ref="D46:Q46"/>
    <mergeCell ref="D48:Q4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0"/>
  <sheetViews>
    <sheetView zoomScaleNormal="100" workbookViewId="0">
      <selection activeCell="N18" sqref="N18"/>
    </sheetView>
  </sheetViews>
  <sheetFormatPr defaultRowHeight="14.4" x14ac:dyDescent="0.3"/>
  <cols>
    <col min="1" max="1" width="14.88671875" customWidth="1"/>
    <col min="2" max="2" width="12.88671875" bestFit="1" customWidth="1"/>
    <col min="3" max="3" width="10.44140625" bestFit="1" customWidth="1"/>
    <col min="4" max="4" width="26.6640625" customWidth="1"/>
    <col min="6" max="6" width="13.44140625" customWidth="1"/>
    <col min="11" max="11" width="10.88671875" customWidth="1"/>
    <col min="12" max="12" width="10" bestFit="1" customWidth="1"/>
  </cols>
  <sheetData>
    <row r="1" spans="1:15" x14ac:dyDescent="0.3">
      <c r="A1" s="1" t="s">
        <v>0</v>
      </c>
    </row>
    <row r="2" spans="1:15" x14ac:dyDescent="0.3">
      <c r="A2" s="147" t="s">
        <v>297</v>
      </c>
      <c r="C2" s="2"/>
      <c r="D2" s="2"/>
      <c r="E2" s="2"/>
      <c r="F2" s="54"/>
      <c r="G2" s="54"/>
      <c r="H2" s="54"/>
      <c r="I2" s="55" t="s">
        <v>58</v>
      </c>
      <c r="K2" s="50" t="s">
        <v>58</v>
      </c>
      <c r="L2" s="35" t="s">
        <v>59</v>
      </c>
      <c r="M2" s="35" t="s">
        <v>317</v>
      </c>
    </row>
    <row r="3" spans="1:15" ht="15" thickBot="1" x14ac:dyDescent="0.35">
      <c r="B3" s="11">
        <f>((A12/B6+B10)*B8)/12</f>
        <v>5561.8186223142002</v>
      </c>
      <c r="C3" s="4" t="s">
        <v>1</v>
      </c>
      <c r="D3" s="5" t="s">
        <v>2</v>
      </c>
      <c r="E3" s="278" t="s">
        <v>3</v>
      </c>
      <c r="F3" s="56"/>
      <c r="G3" s="54"/>
      <c r="H3" s="57" t="s">
        <v>4</v>
      </c>
      <c r="I3" s="58">
        <f>B3/B8</f>
        <v>0.77247480865475004</v>
      </c>
      <c r="K3" s="51">
        <f>I3*B8</f>
        <v>5561.8186223142002</v>
      </c>
      <c r="L3" s="36">
        <f>K3/31</f>
        <v>179.41350394561937</v>
      </c>
      <c r="M3" s="36">
        <f>L3/6</f>
        <v>29.902250657603229</v>
      </c>
    </row>
    <row r="4" spans="1:15" x14ac:dyDescent="0.3">
      <c r="B4" s="6" t="s">
        <v>5</v>
      </c>
      <c r="C4" s="4"/>
      <c r="D4" s="9">
        <v>12</v>
      </c>
      <c r="E4" s="278"/>
      <c r="F4" s="56"/>
      <c r="G4" s="54"/>
      <c r="H4" s="57" t="s">
        <v>6</v>
      </c>
      <c r="I4" s="59">
        <f>I3*1.21</f>
        <v>0.93469451847224749</v>
      </c>
      <c r="K4" s="51">
        <f>I4*B8</f>
        <v>6729.8005330001815</v>
      </c>
      <c r="L4" s="36">
        <f>K4/31</f>
        <v>217.09033977419941</v>
      </c>
      <c r="M4" s="111">
        <f>L4/5</f>
        <v>43.418067954839884</v>
      </c>
      <c r="N4" s="37"/>
    </row>
    <row r="5" spans="1:15" x14ac:dyDescent="0.3">
      <c r="C5" s="2"/>
      <c r="D5" s="2"/>
      <c r="E5" s="2"/>
    </row>
    <row r="6" spans="1:15" x14ac:dyDescent="0.3">
      <c r="B6" s="47">
        <v>7200</v>
      </c>
      <c r="C6" t="s">
        <v>7</v>
      </c>
      <c r="D6" s="12" t="s">
        <v>8</v>
      </c>
    </row>
    <row r="7" spans="1:15" ht="18" customHeight="1" x14ac:dyDescent="0.3">
      <c r="B7" s="8"/>
      <c r="D7" s="12"/>
      <c r="O7" s="37"/>
    </row>
    <row r="8" spans="1:15" x14ac:dyDescent="0.3">
      <c r="A8" s="13">
        <f>B8/B6</f>
        <v>1</v>
      </c>
      <c r="B8" s="47">
        <v>7200</v>
      </c>
      <c r="C8" t="s">
        <v>9</v>
      </c>
      <c r="D8" s="14" t="s">
        <v>10</v>
      </c>
      <c r="E8" s="14"/>
    </row>
    <row r="9" spans="1:15" ht="5.25" customHeight="1" x14ac:dyDescent="0.3">
      <c r="B9" s="8"/>
      <c r="D9" s="12"/>
    </row>
    <row r="10" spans="1:15" x14ac:dyDescent="0.3">
      <c r="B10" s="11">
        <f>A42</f>
        <v>1.1446977038569999</v>
      </c>
      <c r="C10" t="s">
        <v>11</v>
      </c>
      <c r="D10" s="14" t="s">
        <v>12</v>
      </c>
    </row>
    <row r="11" spans="1:15" ht="6.75" customHeight="1" x14ac:dyDescent="0.3">
      <c r="C11" s="14"/>
    </row>
    <row r="12" spans="1:15" x14ac:dyDescent="0.3">
      <c r="A12" s="11">
        <f>B19+B24+B26+B28+B30+B31+B32</f>
        <v>58500</v>
      </c>
      <c r="B12" t="s">
        <v>13</v>
      </c>
      <c r="C12" t="s">
        <v>14</v>
      </c>
    </row>
    <row r="14" spans="1:15" x14ac:dyDescent="0.3">
      <c r="D14" s="12" t="s">
        <v>15</v>
      </c>
    </row>
    <row r="15" spans="1:15" x14ac:dyDescent="0.3">
      <c r="D15" s="15"/>
    </row>
    <row r="16" spans="1:15" x14ac:dyDescent="0.3">
      <c r="D16" s="16" t="s">
        <v>273</v>
      </c>
    </row>
    <row r="17" spans="1:18" x14ac:dyDescent="0.3">
      <c r="D17" s="17"/>
    </row>
    <row r="18" spans="1:18" x14ac:dyDescent="0.3">
      <c r="D18" s="18" t="s">
        <v>16</v>
      </c>
    </row>
    <row r="19" spans="1:18" x14ac:dyDescent="0.3">
      <c r="B19" s="161">
        <v>46050</v>
      </c>
      <c r="C19" t="s">
        <v>17</v>
      </c>
      <c r="D19" s="277" t="s">
        <v>243</v>
      </c>
      <c r="E19" s="277"/>
      <c r="F19" s="277"/>
      <c r="G19" s="277"/>
      <c r="H19" s="277"/>
      <c r="I19" s="277"/>
      <c r="J19" s="277"/>
      <c r="K19" s="277"/>
      <c r="L19" s="277"/>
      <c r="M19" s="277"/>
      <c r="N19" s="277"/>
      <c r="O19" s="277"/>
      <c r="P19" s="277"/>
      <c r="Q19" s="277"/>
      <c r="R19" s="277"/>
    </row>
    <row r="20" spans="1:18" x14ac:dyDescent="0.3">
      <c r="B20" s="11"/>
      <c r="D20" s="277" t="s">
        <v>244</v>
      </c>
      <c r="E20" s="277"/>
      <c r="F20" s="277"/>
      <c r="G20" s="277"/>
      <c r="H20" s="277"/>
      <c r="I20" s="277"/>
      <c r="J20" s="277"/>
      <c r="K20" s="277"/>
      <c r="L20" s="277"/>
      <c r="M20" s="277"/>
      <c r="N20" s="277"/>
      <c r="O20" s="277"/>
      <c r="P20" s="277"/>
      <c r="Q20" s="277"/>
      <c r="R20" s="277"/>
    </row>
    <row r="21" spans="1:18" x14ac:dyDescent="0.3">
      <c r="B21" s="11"/>
      <c r="D21" s="277" t="s">
        <v>245</v>
      </c>
      <c r="E21" s="277"/>
      <c r="F21" s="277"/>
      <c r="G21" s="277"/>
      <c r="H21" s="277"/>
      <c r="I21" s="277"/>
      <c r="J21" s="277"/>
      <c r="K21" s="277"/>
      <c r="L21" s="277"/>
      <c r="M21" s="277"/>
      <c r="N21" s="277"/>
      <c r="O21" s="277"/>
      <c r="P21" s="277"/>
      <c r="Q21" s="277"/>
      <c r="R21" s="277"/>
    </row>
    <row r="22" spans="1:18" x14ac:dyDescent="0.3">
      <c r="A22" s="35" t="s">
        <v>17</v>
      </c>
      <c r="B22" s="11"/>
      <c r="D22" s="277" t="s">
        <v>246</v>
      </c>
      <c r="E22" s="277"/>
      <c r="F22" s="277"/>
      <c r="G22" s="277"/>
      <c r="H22" s="277"/>
      <c r="I22" s="277"/>
      <c r="J22" s="277"/>
      <c r="K22" s="277"/>
      <c r="L22" s="277"/>
      <c r="M22" s="277"/>
      <c r="N22" s="277"/>
      <c r="O22" s="277"/>
      <c r="P22" s="277"/>
      <c r="Q22" s="277"/>
      <c r="R22" s="277"/>
    </row>
    <row r="23" spans="1:18" x14ac:dyDescent="0.3">
      <c r="B23" s="8"/>
      <c r="D23" s="277" t="s">
        <v>247</v>
      </c>
      <c r="E23" s="277"/>
      <c r="F23" s="277"/>
      <c r="G23" s="277"/>
      <c r="H23" s="277"/>
      <c r="I23" s="277"/>
      <c r="J23" s="277"/>
      <c r="K23" s="277"/>
      <c r="L23" s="277"/>
      <c r="M23" s="277"/>
      <c r="N23" s="277"/>
      <c r="O23" s="277"/>
      <c r="P23" s="277"/>
      <c r="Q23" s="277"/>
      <c r="R23" s="277"/>
    </row>
    <row r="24" spans="1:18" x14ac:dyDescent="0.3">
      <c r="B24" s="11">
        <v>10800</v>
      </c>
      <c r="C24" t="s">
        <v>18</v>
      </c>
      <c r="D24" s="277" t="s">
        <v>248</v>
      </c>
      <c r="E24" s="277"/>
      <c r="F24" s="277"/>
      <c r="G24" s="277"/>
      <c r="H24" s="277"/>
      <c r="I24" s="277"/>
      <c r="J24" s="277"/>
      <c r="K24" s="277"/>
      <c r="L24" s="277"/>
      <c r="M24" s="277"/>
      <c r="N24" s="277"/>
      <c r="O24" s="277"/>
      <c r="P24" s="277"/>
      <c r="Q24" s="277"/>
      <c r="R24" s="277"/>
    </row>
    <row r="25" spans="1:18" x14ac:dyDescent="0.3">
      <c r="B25" s="8"/>
      <c r="D25" t="s">
        <v>249</v>
      </c>
    </row>
    <row r="26" spans="1:18" x14ac:dyDescent="0.3">
      <c r="B26" s="48">
        <v>1650</v>
      </c>
      <c r="C26" t="s">
        <v>19</v>
      </c>
      <c r="D26" s="277" t="s">
        <v>250</v>
      </c>
      <c r="E26" s="277"/>
      <c r="F26" s="277"/>
      <c r="G26" s="277"/>
      <c r="H26" s="277"/>
      <c r="I26" s="277"/>
      <c r="J26" s="277"/>
      <c r="K26" s="277"/>
      <c r="L26" s="277"/>
      <c r="M26" s="277"/>
      <c r="N26" s="277"/>
      <c r="O26" s="277"/>
      <c r="P26" s="277"/>
      <c r="Q26" s="277"/>
      <c r="R26" s="277"/>
    </row>
    <row r="27" spans="1:18" x14ac:dyDescent="0.3">
      <c r="B27" s="8"/>
      <c r="D27" t="s">
        <v>251</v>
      </c>
    </row>
    <row r="28" spans="1:18" x14ac:dyDescent="0.3">
      <c r="B28" s="48">
        <f>Tame!C83</f>
        <v>0</v>
      </c>
      <c r="C28" t="s">
        <v>20</v>
      </c>
      <c r="D28" t="s">
        <v>21</v>
      </c>
    </row>
    <row r="29" spans="1:18" x14ac:dyDescent="0.3">
      <c r="B29" s="8"/>
      <c r="D29" t="s">
        <v>22</v>
      </c>
    </row>
    <row r="30" spans="1:18" x14ac:dyDescent="0.3">
      <c r="B30" s="11">
        <f>Tame!C55</f>
        <v>0</v>
      </c>
      <c r="C30" t="s">
        <v>23</v>
      </c>
      <c r="D30" t="s">
        <v>24</v>
      </c>
    </row>
    <row r="31" spans="1:18" x14ac:dyDescent="0.3">
      <c r="B31" s="48">
        <v>0</v>
      </c>
      <c r="C31" t="s">
        <v>25</v>
      </c>
      <c r="D31" t="s">
        <v>26</v>
      </c>
    </row>
    <row r="32" spans="1:18" x14ac:dyDescent="0.3">
      <c r="B32" s="11"/>
      <c r="C32" t="s">
        <v>27</v>
      </c>
      <c r="D32" t="s">
        <v>28</v>
      </c>
    </row>
    <row r="33" spans="1:18" x14ac:dyDescent="0.3">
      <c r="B33" s="11">
        <v>0</v>
      </c>
      <c r="C33" t="s">
        <v>252</v>
      </c>
      <c r="D33" s="277" t="s">
        <v>253</v>
      </c>
      <c r="E33" s="277"/>
      <c r="F33" s="277"/>
      <c r="G33" s="277"/>
      <c r="H33" s="277"/>
      <c r="I33" s="277"/>
      <c r="J33" s="277"/>
      <c r="K33" s="277"/>
      <c r="L33" s="277"/>
      <c r="M33" s="277"/>
      <c r="N33" s="277"/>
      <c r="O33" s="277"/>
      <c r="P33" s="277"/>
      <c r="Q33" s="277"/>
      <c r="R33" s="277"/>
    </row>
    <row r="34" spans="1:18" x14ac:dyDescent="0.3">
      <c r="B34" s="11"/>
      <c r="D34" s="277" t="s">
        <v>254</v>
      </c>
      <c r="E34" s="277"/>
      <c r="F34" s="277"/>
      <c r="G34" s="277"/>
      <c r="H34" s="277"/>
      <c r="I34" s="277"/>
      <c r="J34" s="277"/>
      <c r="K34" s="277"/>
      <c r="L34" s="277"/>
      <c r="M34" s="277"/>
      <c r="N34" s="277"/>
      <c r="O34" s="277"/>
      <c r="P34" s="277"/>
      <c r="Q34" s="277"/>
      <c r="R34" s="277"/>
    </row>
    <row r="35" spans="1:18" x14ac:dyDescent="0.3">
      <c r="B35" s="11"/>
      <c r="D35" s="277" t="s">
        <v>255</v>
      </c>
      <c r="E35" s="277"/>
      <c r="F35" s="277"/>
      <c r="G35" s="277"/>
      <c r="H35" s="277"/>
      <c r="I35" s="277"/>
      <c r="J35" s="277"/>
      <c r="K35" s="277"/>
      <c r="L35" s="277"/>
      <c r="M35" s="277"/>
      <c r="N35" s="277"/>
      <c r="O35" s="277"/>
      <c r="P35" s="277"/>
      <c r="Q35" s="277"/>
      <c r="R35" s="277"/>
    </row>
    <row r="36" spans="1:18" x14ac:dyDescent="0.3">
      <c r="B36" s="11"/>
      <c r="D36" s="277" t="s">
        <v>256</v>
      </c>
      <c r="E36" s="277"/>
      <c r="F36" s="277"/>
      <c r="G36" s="277"/>
      <c r="H36" s="277"/>
      <c r="I36" s="277"/>
      <c r="J36" s="277"/>
      <c r="K36" s="277"/>
      <c r="L36" s="277"/>
      <c r="M36" s="277"/>
      <c r="N36" s="277"/>
      <c r="O36" s="277"/>
      <c r="P36" s="277"/>
      <c r="Q36" s="277"/>
      <c r="R36" s="277"/>
    </row>
    <row r="37" spans="1:18" x14ac:dyDescent="0.3">
      <c r="B37" s="11"/>
      <c r="D37" s="277" t="s">
        <v>257</v>
      </c>
      <c r="E37" s="277"/>
      <c r="F37" s="277"/>
      <c r="G37" s="277"/>
      <c r="H37" s="277"/>
      <c r="I37" s="277"/>
      <c r="J37" s="277"/>
      <c r="K37" s="277"/>
      <c r="L37" s="277"/>
      <c r="M37" s="277"/>
      <c r="N37" s="277"/>
      <c r="O37" s="277"/>
      <c r="P37" s="277"/>
      <c r="Q37" s="277"/>
      <c r="R37" s="277"/>
    </row>
    <row r="38" spans="1:18" x14ac:dyDescent="0.3">
      <c r="B38" s="11"/>
      <c r="D38" s="277" t="s">
        <v>258</v>
      </c>
      <c r="E38" s="277"/>
      <c r="F38" s="277"/>
      <c r="G38" s="277"/>
      <c r="H38" s="277"/>
      <c r="I38" s="277"/>
      <c r="J38" s="277"/>
      <c r="K38" s="277"/>
      <c r="L38" s="277"/>
      <c r="M38" s="277"/>
      <c r="N38" s="277"/>
      <c r="O38" s="277"/>
      <c r="P38" s="277"/>
      <c r="Q38" s="277"/>
      <c r="R38" s="277"/>
    </row>
    <row r="39" spans="1:18" x14ac:dyDescent="0.3">
      <c r="B39" s="11">
        <v>1</v>
      </c>
      <c r="C39" t="s">
        <v>259</v>
      </c>
      <c r="D39" s="277" t="s">
        <v>260</v>
      </c>
      <c r="E39" s="277"/>
      <c r="F39" s="277"/>
      <c r="G39" s="277"/>
      <c r="H39" s="277"/>
      <c r="I39" s="277"/>
      <c r="J39" s="277"/>
      <c r="K39" s="277"/>
      <c r="L39" s="277"/>
      <c r="M39" s="277"/>
      <c r="N39" s="277"/>
      <c r="O39" s="277"/>
      <c r="P39" s="277"/>
      <c r="Q39" s="277"/>
      <c r="R39" s="277"/>
    </row>
    <row r="40" spans="1:18" x14ac:dyDescent="0.3">
      <c r="B40" s="11"/>
      <c r="D40" s="102" t="s">
        <v>261</v>
      </c>
      <c r="E40" s="102"/>
      <c r="F40" s="102"/>
      <c r="G40" s="102"/>
      <c r="H40" s="102"/>
      <c r="I40" s="102"/>
      <c r="J40" s="102"/>
      <c r="K40" s="102"/>
      <c r="L40" s="102"/>
      <c r="M40" s="102"/>
      <c r="N40" s="102"/>
      <c r="O40" s="102"/>
      <c r="P40" s="102"/>
      <c r="Q40" s="102"/>
      <c r="R40" s="102"/>
    </row>
    <row r="42" spans="1:18" ht="30" customHeight="1" x14ac:dyDescent="0.3">
      <c r="A42" s="19">
        <f>B46*B48/B50</f>
        <v>1.1446977038569999</v>
      </c>
      <c r="B42" t="s">
        <v>11</v>
      </c>
      <c r="C42" s="279" t="s">
        <v>29</v>
      </c>
      <c r="D42" s="279"/>
      <c r="E42" s="279"/>
      <c r="F42" s="279"/>
      <c r="G42" s="279"/>
      <c r="H42" s="279"/>
      <c r="I42" s="279"/>
      <c r="J42" s="279"/>
      <c r="K42" s="279"/>
      <c r="L42" s="279"/>
      <c r="M42" s="279"/>
      <c r="N42" s="279"/>
      <c r="O42" s="279"/>
      <c r="P42" s="279"/>
      <c r="Q42" s="279"/>
    </row>
    <row r="44" spans="1:18" x14ac:dyDescent="0.3">
      <c r="E44" s="20" t="s">
        <v>30</v>
      </c>
    </row>
    <row r="45" spans="1:18" x14ac:dyDescent="0.3">
      <c r="E45" s="20" t="s">
        <v>31</v>
      </c>
    </row>
    <row r="46" spans="1:18" ht="46.5" customHeight="1" x14ac:dyDescent="0.3">
      <c r="B46" s="21">
        <v>18000</v>
      </c>
      <c r="C46" t="s">
        <v>32</v>
      </c>
      <c r="D46" s="279" t="s">
        <v>33</v>
      </c>
      <c r="E46" s="279"/>
      <c r="F46" s="279"/>
      <c r="G46" s="279"/>
      <c r="H46" s="279"/>
      <c r="I46" s="279"/>
      <c r="J46" s="279"/>
      <c r="K46" s="279"/>
      <c r="L46" s="279"/>
      <c r="M46" s="279"/>
      <c r="N46" s="279"/>
      <c r="O46" s="279"/>
      <c r="P46" s="279"/>
      <c r="Q46" s="279"/>
    </row>
    <row r="47" spans="1:18" s="2" customFormat="1" ht="7.5" customHeight="1" x14ac:dyDescent="0.3">
      <c r="D47" s="22"/>
      <c r="E47" s="22"/>
      <c r="F47" s="22"/>
      <c r="G47" s="22"/>
      <c r="H47" s="22"/>
      <c r="I47" s="22"/>
      <c r="J47" s="22"/>
      <c r="K47" s="22"/>
      <c r="L47" s="22"/>
      <c r="M47" s="22"/>
      <c r="N47" s="22"/>
      <c r="O47" s="22"/>
      <c r="P47" s="22"/>
      <c r="Q47" s="22"/>
    </row>
    <row r="48" spans="1:18" ht="32.25" customHeight="1" x14ac:dyDescent="0.3">
      <c r="B48" s="19">
        <f>(C71-C71*0.1)/F71</f>
        <v>0.17908159633673951</v>
      </c>
      <c r="C48" t="s">
        <v>34</v>
      </c>
      <c r="D48" s="279" t="s">
        <v>35</v>
      </c>
      <c r="E48" s="279"/>
      <c r="F48" s="279"/>
      <c r="G48" s="279"/>
      <c r="H48" s="279"/>
      <c r="I48" s="279"/>
      <c r="J48" s="279"/>
      <c r="K48" s="279"/>
      <c r="L48" s="279"/>
      <c r="M48" s="279"/>
      <c r="N48" s="279"/>
      <c r="O48" s="279"/>
      <c r="P48" s="279"/>
      <c r="Q48" s="279"/>
    </row>
    <row r="49" spans="1:6" ht="6" customHeight="1" x14ac:dyDescent="0.3"/>
    <row r="50" spans="1:6" x14ac:dyDescent="0.3">
      <c r="B50" s="33">
        <v>2816</v>
      </c>
      <c r="C50" t="s">
        <v>36</v>
      </c>
      <c r="D50" s="20" t="s">
        <v>37</v>
      </c>
    </row>
    <row r="53" spans="1:6" x14ac:dyDescent="0.3">
      <c r="C53" s="23"/>
      <c r="D53" s="23"/>
      <c r="E53" s="23"/>
      <c r="F53" s="23"/>
    </row>
    <row r="54" spans="1:6" x14ac:dyDescent="0.3">
      <c r="B54" s="32" t="s">
        <v>46</v>
      </c>
      <c r="C54" s="23"/>
      <c r="D54" s="23"/>
      <c r="E54" s="23"/>
      <c r="F54" s="23"/>
    </row>
    <row r="55" spans="1:6" x14ac:dyDescent="0.3">
      <c r="A55" s="30"/>
      <c r="B55">
        <v>2222</v>
      </c>
      <c r="C55" s="8"/>
      <c r="D55" s="24" t="s">
        <v>38</v>
      </c>
    </row>
    <row r="56" spans="1:6" x14ac:dyDescent="0.3">
      <c r="B56">
        <v>2223</v>
      </c>
      <c r="C56" s="8">
        <v>5150</v>
      </c>
      <c r="D56" s="25" t="s">
        <v>39</v>
      </c>
    </row>
    <row r="57" spans="1:6" x14ac:dyDescent="0.3">
      <c r="B57">
        <v>2229</v>
      </c>
      <c r="C57" s="26">
        <f>Tame!C45</f>
        <v>0</v>
      </c>
      <c r="D57" s="27" t="s">
        <v>40</v>
      </c>
    </row>
    <row r="58" spans="1:6" x14ac:dyDescent="0.3">
      <c r="B58">
        <v>2239</v>
      </c>
      <c r="C58" s="26"/>
      <c r="D58" s="27" t="s">
        <v>44</v>
      </c>
    </row>
    <row r="59" spans="1:6" x14ac:dyDescent="0.3">
      <c r="B59">
        <v>2241</v>
      </c>
      <c r="C59" s="26">
        <v>11585</v>
      </c>
      <c r="D59" s="23" t="s">
        <v>190</v>
      </c>
    </row>
    <row r="60" spans="1:6" x14ac:dyDescent="0.3">
      <c r="B60">
        <v>2243</v>
      </c>
      <c r="C60" s="26">
        <v>8565</v>
      </c>
      <c r="D60" s="27" t="s">
        <v>45</v>
      </c>
      <c r="E60" s="27"/>
    </row>
    <row r="61" spans="1:6" x14ac:dyDescent="0.3">
      <c r="B61">
        <v>2244</v>
      </c>
      <c r="C61" s="26">
        <v>9060</v>
      </c>
      <c r="D61" s="27" t="s">
        <v>293</v>
      </c>
    </row>
    <row r="62" spans="1:6" x14ac:dyDescent="0.3">
      <c r="B62">
        <v>2249</v>
      </c>
      <c r="C62" s="26">
        <v>3825</v>
      </c>
      <c r="D62" s="27" t="s">
        <v>41</v>
      </c>
    </row>
    <row r="63" spans="1:6" x14ac:dyDescent="0.3">
      <c r="B63">
        <v>2321</v>
      </c>
      <c r="C63" s="26"/>
      <c r="D63" s="27" t="s">
        <v>42</v>
      </c>
    </row>
    <row r="64" spans="1:6" x14ac:dyDescent="0.3">
      <c r="B64">
        <v>2341</v>
      </c>
      <c r="C64" s="26"/>
      <c r="D64" s="27" t="s">
        <v>164</v>
      </c>
    </row>
    <row r="65" spans="1:7" x14ac:dyDescent="0.3">
      <c r="B65">
        <v>2350</v>
      </c>
      <c r="C65" s="26">
        <v>7865</v>
      </c>
      <c r="D65" s="27" t="s">
        <v>43</v>
      </c>
    </row>
    <row r="66" spans="1:7" x14ac:dyDescent="0.3">
      <c r="A66" s="30" t="s">
        <v>48</v>
      </c>
      <c r="B66" s="30"/>
      <c r="C66" s="31">
        <f>SUM(C55:C65)</f>
        <v>46050</v>
      </c>
      <c r="D66" s="276"/>
      <c r="E66" s="276"/>
      <c r="F66" s="276"/>
      <c r="G66" s="276"/>
    </row>
    <row r="67" spans="1:7" x14ac:dyDescent="0.3">
      <c r="C67" s="28"/>
      <c r="D67" s="276"/>
      <c r="E67" s="276"/>
      <c r="F67" s="276"/>
      <c r="G67" s="276"/>
    </row>
    <row r="68" spans="1:7" x14ac:dyDescent="0.3">
      <c r="C68" s="64">
        <f>688*1.2409*12*0.7</f>
        <v>7171.4092799999999</v>
      </c>
      <c r="D68" s="27" t="s">
        <v>295</v>
      </c>
      <c r="E68" s="49"/>
      <c r="F68" s="27"/>
      <c r="G68" s="27"/>
    </row>
    <row r="69" spans="1:7" x14ac:dyDescent="0.3">
      <c r="A69" s="30" t="s">
        <v>274</v>
      </c>
      <c r="B69" s="30"/>
      <c r="C69" s="31">
        <v>10800</v>
      </c>
      <c r="D69" s="27"/>
      <c r="E69" s="27"/>
      <c r="F69" s="27"/>
      <c r="G69" s="27"/>
    </row>
    <row r="70" spans="1:7" x14ac:dyDescent="0.3">
      <c r="C70" s="28"/>
      <c r="D70" s="27"/>
      <c r="E70" s="27"/>
      <c r="F70" s="27"/>
      <c r="G70" s="27"/>
    </row>
    <row r="71" spans="1:7" x14ac:dyDescent="0.3">
      <c r="C71" s="46">
        <f>(2038+1725)*1.2409*12*0.5</f>
        <v>28017.040199999999</v>
      </c>
      <c r="D71" s="65" t="s">
        <v>316</v>
      </c>
      <c r="F71" s="165">
        <f>(9494)*1.2359*12</f>
        <v>140803.6152</v>
      </c>
      <c r="G71" t="s">
        <v>191</v>
      </c>
    </row>
    <row r="72" spans="1:7" x14ac:dyDescent="0.3">
      <c r="B72">
        <v>2211</v>
      </c>
      <c r="C72">
        <v>180</v>
      </c>
      <c r="D72" t="s">
        <v>292</v>
      </c>
    </row>
    <row r="73" spans="1:7" x14ac:dyDescent="0.3">
      <c r="B73">
        <v>2234</v>
      </c>
      <c r="C73">
        <v>50</v>
      </c>
      <c r="D73" s="27" t="s">
        <v>54</v>
      </c>
    </row>
    <row r="74" spans="1:7" x14ac:dyDescent="0.3">
      <c r="B74">
        <v>2236</v>
      </c>
      <c r="C74">
        <f>Tame!C49</f>
        <v>0</v>
      </c>
      <c r="D74" s="27" t="s">
        <v>53</v>
      </c>
    </row>
    <row r="75" spans="1:7" x14ac:dyDescent="0.3">
      <c r="B75">
        <v>2264</v>
      </c>
      <c r="D75" s="27" t="s">
        <v>55</v>
      </c>
    </row>
    <row r="76" spans="1:7" x14ac:dyDescent="0.3">
      <c r="B76">
        <v>2311</v>
      </c>
      <c r="C76">
        <v>250</v>
      </c>
      <c r="D76" s="27" t="s">
        <v>56</v>
      </c>
    </row>
    <row r="77" spans="1:7" x14ac:dyDescent="0.3">
      <c r="B77">
        <v>2312</v>
      </c>
      <c r="C77">
        <v>2654</v>
      </c>
      <c r="D77" s="27" t="s">
        <v>57</v>
      </c>
    </row>
    <row r="78" spans="1:7" x14ac:dyDescent="0.3">
      <c r="B78">
        <v>2322</v>
      </c>
      <c r="C78">
        <v>480</v>
      </c>
      <c r="D78" s="27" t="s">
        <v>160</v>
      </c>
    </row>
    <row r="79" spans="1:7" x14ac:dyDescent="0.3">
      <c r="B79">
        <v>2390</v>
      </c>
      <c r="C79">
        <f>Tame!C71</f>
        <v>1398.41</v>
      </c>
    </row>
    <row r="80" spans="1:7" x14ac:dyDescent="0.3">
      <c r="A80" s="30" t="s">
        <v>275</v>
      </c>
      <c r="B80" s="30"/>
      <c r="C80" s="31">
        <f>SUM(C71:C79)</f>
        <v>33029.450199999999</v>
      </c>
    </row>
  </sheetData>
  <mergeCells count="20">
    <mergeCell ref="E3:E4"/>
    <mergeCell ref="D19:R19"/>
    <mergeCell ref="D20:R20"/>
    <mergeCell ref="D21:R21"/>
    <mergeCell ref="D22:R22"/>
    <mergeCell ref="D23:R23"/>
    <mergeCell ref="D24:R24"/>
    <mergeCell ref="D26:R26"/>
    <mergeCell ref="D33:R33"/>
    <mergeCell ref="D34:R34"/>
    <mergeCell ref="D35:R35"/>
    <mergeCell ref="D36:R36"/>
    <mergeCell ref="D66:G66"/>
    <mergeCell ref="D67:G67"/>
    <mergeCell ref="D37:R37"/>
    <mergeCell ref="D38:R38"/>
    <mergeCell ref="D39:R39"/>
    <mergeCell ref="C42:Q42"/>
    <mergeCell ref="D46:Q46"/>
    <mergeCell ref="D48:Q48"/>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0"/>
  <sheetViews>
    <sheetView workbookViewId="0">
      <selection activeCell="M3" sqref="M3"/>
    </sheetView>
  </sheetViews>
  <sheetFormatPr defaultRowHeight="14.4" x14ac:dyDescent="0.3"/>
  <cols>
    <col min="1" max="1" width="14.88671875" customWidth="1"/>
    <col min="2" max="2" width="12.88671875" bestFit="1" customWidth="1"/>
    <col min="3" max="3" width="10.44140625" bestFit="1" customWidth="1"/>
    <col min="4" max="4" width="26.6640625" customWidth="1"/>
    <col min="6" max="6" width="13.44140625" customWidth="1"/>
    <col min="11" max="11" width="10.88671875" customWidth="1"/>
    <col min="12" max="12" width="10" bestFit="1" customWidth="1"/>
    <col min="257" max="257" width="14.88671875" customWidth="1"/>
    <col min="258" max="258" width="12.88671875" bestFit="1" customWidth="1"/>
    <col min="259" max="259" width="10.44140625" bestFit="1" customWidth="1"/>
    <col min="260" max="260" width="26.6640625" customWidth="1"/>
    <col min="262" max="262" width="13.44140625" customWidth="1"/>
    <col min="267" max="267" width="10.88671875" customWidth="1"/>
    <col min="268" max="268" width="10" bestFit="1" customWidth="1"/>
    <col min="513" max="513" width="14.88671875" customWidth="1"/>
    <col min="514" max="514" width="12.88671875" bestFit="1" customWidth="1"/>
    <col min="515" max="515" width="10.44140625" bestFit="1" customWidth="1"/>
    <col min="516" max="516" width="26.6640625" customWidth="1"/>
    <col min="518" max="518" width="13.44140625" customWidth="1"/>
    <col min="523" max="523" width="10.88671875" customWidth="1"/>
    <col min="524" max="524" width="10" bestFit="1" customWidth="1"/>
    <col min="769" max="769" width="14.88671875" customWidth="1"/>
    <col min="770" max="770" width="12.88671875" bestFit="1" customWidth="1"/>
    <col min="771" max="771" width="10.44140625" bestFit="1" customWidth="1"/>
    <col min="772" max="772" width="26.6640625" customWidth="1"/>
    <col min="774" max="774" width="13.44140625" customWidth="1"/>
    <col min="779" max="779" width="10.88671875" customWidth="1"/>
    <col min="780" max="780" width="10" bestFit="1" customWidth="1"/>
    <col min="1025" max="1025" width="14.88671875" customWidth="1"/>
    <col min="1026" max="1026" width="12.88671875" bestFit="1" customWidth="1"/>
    <col min="1027" max="1027" width="10.44140625" bestFit="1" customWidth="1"/>
    <col min="1028" max="1028" width="26.6640625" customWidth="1"/>
    <col min="1030" max="1030" width="13.44140625" customWidth="1"/>
    <col min="1035" max="1035" width="10.88671875" customWidth="1"/>
    <col min="1036" max="1036" width="10" bestFit="1" customWidth="1"/>
    <col min="1281" max="1281" width="14.88671875" customWidth="1"/>
    <col min="1282" max="1282" width="12.88671875" bestFit="1" customWidth="1"/>
    <col min="1283" max="1283" width="10.44140625" bestFit="1" customWidth="1"/>
    <col min="1284" max="1284" width="26.6640625" customWidth="1"/>
    <col min="1286" max="1286" width="13.44140625" customWidth="1"/>
    <col min="1291" max="1291" width="10.88671875" customWidth="1"/>
    <col min="1292" max="1292" width="10" bestFit="1" customWidth="1"/>
    <col min="1537" max="1537" width="14.88671875" customWidth="1"/>
    <col min="1538" max="1538" width="12.88671875" bestFit="1" customWidth="1"/>
    <col min="1539" max="1539" width="10.44140625" bestFit="1" customWidth="1"/>
    <col min="1540" max="1540" width="26.6640625" customWidth="1"/>
    <col min="1542" max="1542" width="13.44140625" customWidth="1"/>
    <col min="1547" max="1547" width="10.88671875" customWidth="1"/>
    <col min="1548" max="1548" width="10" bestFit="1" customWidth="1"/>
    <col min="1793" max="1793" width="14.88671875" customWidth="1"/>
    <col min="1794" max="1794" width="12.88671875" bestFit="1" customWidth="1"/>
    <col min="1795" max="1795" width="10.44140625" bestFit="1" customWidth="1"/>
    <col min="1796" max="1796" width="26.6640625" customWidth="1"/>
    <col min="1798" max="1798" width="13.44140625" customWidth="1"/>
    <col min="1803" max="1803" width="10.88671875" customWidth="1"/>
    <col min="1804" max="1804" width="10" bestFit="1" customWidth="1"/>
    <col min="2049" max="2049" width="14.88671875" customWidth="1"/>
    <col min="2050" max="2050" width="12.88671875" bestFit="1" customWidth="1"/>
    <col min="2051" max="2051" width="10.44140625" bestFit="1" customWidth="1"/>
    <col min="2052" max="2052" width="26.6640625" customWidth="1"/>
    <col min="2054" max="2054" width="13.44140625" customWidth="1"/>
    <col min="2059" max="2059" width="10.88671875" customWidth="1"/>
    <col min="2060" max="2060" width="10" bestFit="1" customWidth="1"/>
    <col min="2305" max="2305" width="14.88671875" customWidth="1"/>
    <col min="2306" max="2306" width="12.88671875" bestFit="1" customWidth="1"/>
    <col min="2307" max="2307" width="10.44140625" bestFit="1" customWidth="1"/>
    <col min="2308" max="2308" width="26.6640625" customWidth="1"/>
    <col min="2310" max="2310" width="13.44140625" customWidth="1"/>
    <col min="2315" max="2315" width="10.88671875" customWidth="1"/>
    <col min="2316" max="2316" width="10" bestFit="1" customWidth="1"/>
    <col min="2561" max="2561" width="14.88671875" customWidth="1"/>
    <col min="2562" max="2562" width="12.88671875" bestFit="1" customWidth="1"/>
    <col min="2563" max="2563" width="10.44140625" bestFit="1" customWidth="1"/>
    <col min="2564" max="2564" width="26.6640625" customWidth="1"/>
    <col min="2566" max="2566" width="13.44140625" customWidth="1"/>
    <col min="2571" max="2571" width="10.88671875" customWidth="1"/>
    <col min="2572" max="2572" width="10" bestFit="1" customWidth="1"/>
    <col min="2817" max="2817" width="14.88671875" customWidth="1"/>
    <col min="2818" max="2818" width="12.88671875" bestFit="1" customWidth="1"/>
    <col min="2819" max="2819" width="10.44140625" bestFit="1" customWidth="1"/>
    <col min="2820" max="2820" width="26.6640625" customWidth="1"/>
    <col min="2822" max="2822" width="13.44140625" customWidth="1"/>
    <col min="2827" max="2827" width="10.88671875" customWidth="1"/>
    <col min="2828" max="2828" width="10" bestFit="1" customWidth="1"/>
    <col min="3073" max="3073" width="14.88671875" customWidth="1"/>
    <col min="3074" max="3074" width="12.88671875" bestFit="1" customWidth="1"/>
    <col min="3075" max="3075" width="10.44140625" bestFit="1" customWidth="1"/>
    <col min="3076" max="3076" width="26.6640625" customWidth="1"/>
    <col min="3078" max="3078" width="13.44140625" customWidth="1"/>
    <col min="3083" max="3083" width="10.88671875" customWidth="1"/>
    <col min="3084" max="3084" width="10" bestFit="1" customWidth="1"/>
    <col min="3329" max="3329" width="14.88671875" customWidth="1"/>
    <col min="3330" max="3330" width="12.88671875" bestFit="1" customWidth="1"/>
    <col min="3331" max="3331" width="10.44140625" bestFit="1" customWidth="1"/>
    <col min="3332" max="3332" width="26.6640625" customWidth="1"/>
    <col min="3334" max="3334" width="13.44140625" customWidth="1"/>
    <col min="3339" max="3339" width="10.88671875" customWidth="1"/>
    <col min="3340" max="3340" width="10" bestFit="1" customWidth="1"/>
    <col min="3585" max="3585" width="14.88671875" customWidth="1"/>
    <col min="3586" max="3586" width="12.88671875" bestFit="1" customWidth="1"/>
    <col min="3587" max="3587" width="10.44140625" bestFit="1" customWidth="1"/>
    <col min="3588" max="3588" width="26.6640625" customWidth="1"/>
    <col min="3590" max="3590" width="13.44140625" customWidth="1"/>
    <col min="3595" max="3595" width="10.88671875" customWidth="1"/>
    <col min="3596" max="3596" width="10" bestFit="1" customWidth="1"/>
    <col min="3841" max="3841" width="14.88671875" customWidth="1"/>
    <col min="3842" max="3842" width="12.88671875" bestFit="1" customWidth="1"/>
    <col min="3843" max="3843" width="10.44140625" bestFit="1" customWidth="1"/>
    <col min="3844" max="3844" width="26.6640625" customWidth="1"/>
    <col min="3846" max="3846" width="13.44140625" customWidth="1"/>
    <col min="3851" max="3851" width="10.88671875" customWidth="1"/>
    <col min="3852" max="3852" width="10" bestFit="1" customWidth="1"/>
    <col min="4097" max="4097" width="14.88671875" customWidth="1"/>
    <col min="4098" max="4098" width="12.88671875" bestFit="1" customWidth="1"/>
    <col min="4099" max="4099" width="10.44140625" bestFit="1" customWidth="1"/>
    <col min="4100" max="4100" width="26.6640625" customWidth="1"/>
    <col min="4102" max="4102" width="13.44140625" customWidth="1"/>
    <col min="4107" max="4107" width="10.88671875" customWidth="1"/>
    <col min="4108" max="4108" width="10" bestFit="1" customWidth="1"/>
    <col min="4353" max="4353" width="14.88671875" customWidth="1"/>
    <col min="4354" max="4354" width="12.88671875" bestFit="1" customWidth="1"/>
    <col min="4355" max="4355" width="10.44140625" bestFit="1" customWidth="1"/>
    <col min="4356" max="4356" width="26.6640625" customWidth="1"/>
    <col min="4358" max="4358" width="13.44140625" customWidth="1"/>
    <col min="4363" max="4363" width="10.88671875" customWidth="1"/>
    <col min="4364" max="4364" width="10" bestFit="1" customWidth="1"/>
    <col min="4609" max="4609" width="14.88671875" customWidth="1"/>
    <col min="4610" max="4610" width="12.88671875" bestFit="1" customWidth="1"/>
    <col min="4611" max="4611" width="10.44140625" bestFit="1" customWidth="1"/>
    <col min="4612" max="4612" width="26.6640625" customWidth="1"/>
    <col min="4614" max="4614" width="13.44140625" customWidth="1"/>
    <col min="4619" max="4619" width="10.88671875" customWidth="1"/>
    <col min="4620" max="4620" width="10" bestFit="1" customWidth="1"/>
    <col min="4865" max="4865" width="14.88671875" customWidth="1"/>
    <col min="4866" max="4866" width="12.88671875" bestFit="1" customWidth="1"/>
    <col min="4867" max="4867" width="10.44140625" bestFit="1" customWidth="1"/>
    <col min="4868" max="4868" width="26.6640625" customWidth="1"/>
    <col min="4870" max="4870" width="13.44140625" customWidth="1"/>
    <col min="4875" max="4875" width="10.88671875" customWidth="1"/>
    <col min="4876" max="4876" width="10" bestFit="1" customWidth="1"/>
    <col min="5121" max="5121" width="14.88671875" customWidth="1"/>
    <col min="5122" max="5122" width="12.88671875" bestFit="1" customWidth="1"/>
    <col min="5123" max="5123" width="10.44140625" bestFit="1" customWidth="1"/>
    <col min="5124" max="5124" width="26.6640625" customWidth="1"/>
    <col min="5126" max="5126" width="13.44140625" customWidth="1"/>
    <col min="5131" max="5131" width="10.88671875" customWidth="1"/>
    <col min="5132" max="5132" width="10" bestFit="1" customWidth="1"/>
    <col min="5377" max="5377" width="14.88671875" customWidth="1"/>
    <col min="5378" max="5378" width="12.88671875" bestFit="1" customWidth="1"/>
    <col min="5379" max="5379" width="10.44140625" bestFit="1" customWidth="1"/>
    <col min="5380" max="5380" width="26.6640625" customWidth="1"/>
    <col min="5382" max="5382" width="13.44140625" customWidth="1"/>
    <col min="5387" max="5387" width="10.88671875" customWidth="1"/>
    <col min="5388" max="5388" width="10" bestFit="1" customWidth="1"/>
    <col min="5633" max="5633" width="14.88671875" customWidth="1"/>
    <col min="5634" max="5634" width="12.88671875" bestFit="1" customWidth="1"/>
    <col min="5635" max="5635" width="10.44140625" bestFit="1" customWidth="1"/>
    <col min="5636" max="5636" width="26.6640625" customWidth="1"/>
    <col min="5638" max="5638" width="13.44140625" customWidth="1"/>
    <col min="5643" max="5643" width="10.88671875" customWidth="1"/>
    <col min="5644" max="5644" width="10" bestFit="1" customWidth="1"/>
    <col min="5889" max="5889" width="14.88671875" customWidth="1"/>
    <col min="5890" max="5890" width="12.88671875" bestFit="1" customWidth="1"/>
    <col min="5891" max="5891" width="10.44140625" bestFit="1" customWidth="1"/>
    <col min="5892" max="5892" width="26.6640625" customWidth="1"/>
    <col min="5894" max="5894" width="13.44140625" customWidth="1"/>
    <col min="5899" max="5899" width="10.88671875" customWidth="1"/>
    <col min="5900" max="5900" width="10" bestFit="1" customWidth="1"/>
    <col min="6145" max="6145" width="14.88671875" customWidth="1"/>
    <col min="6146" max="6146" width="12.88671875" bestFit="1" customWidth="1"/>
    <col min="6147" max="6147" width="10.44140625" bestFit="1" customWidth="1"/>
    <col min="6148" max="6148" width="26.6640625" customWidth="1"/>
    <col min="6150" max="6150" width="13.44140625" customWidth="1"/>
    <col min="6155" max="6155" width="10.88671875" customWidth="1"/>
    <col min="6156" max="6156" width="10" bestFit="1" customWidth="1"/>
    <col min="6401" max="6401" width="14.88671875" customWidth="1"/>
    <col min="6402" max="6402" width="12.88671875" bestFit="1" customWidth="1"/>
    <col min="6403" max="6403" width="10.44140625" bestFit="1" customWidth="1"/>
    <col min="6404" max="6404" width="26.6640625" customWidth="1"/>
    <col min="6406" max="6406" width="13.44140625" customWidth="1"/>
    <col min="6411" max="6411" width="10.88671875" customWidth="1"/>
    <col min="6412" max="6412" width="10" bestFit="1" customWidth="1"/>
    <col min="6657" max="6657" width="14.88671875" customWidth="1"/>
    <col min="6658" max="6658" width="12.88671875" bestFit="1" customWidth="1"/>
    <col min="6659" max="6659" width="10.44140625" bestFit="1" customWidth="1"/>
    <col min="6660" max="6660" width="26.6640625" customWidth="1"/>
    <col min="6662" max="6662" width="13.44140625" customWidth="1"/>
    <col min="6667" max="6667" width="10.88671875" customWidth="1"/>
    <col min="6668" max="6668" width="10" bestFit="1" customWidth="1"/>
    <col min="6913" max="6913" width="14.88671875" customWidth="1"/>
    <col min="6914" max="6914" width="12.88671875" bestFit="1" customWidth="1"/>
    <col min="6915" max="6915" width="10.44140625" bestFit="1" customWidth="1"/>
    <col min="6916" max="6916" width="26.6640625" customWidth="1"/>
    <col min="6918" max="6918" width="13.44140625" customWidth="1"/>
    <col min="6923" max="6923" width="10.88671875" customWidth="1"/>
    <col min="6924" max="6924" width="10" bestFit="1" customWidth="1"/>
    <col min="7169" max="7169" width="14.88671875" customWidth="1"/>
    <col min="7170" max="7170" width="12.88671875" bestFit="1" customWidth="1"/>
    <col min="7171" max="7171" width="10.44140625" bestFit="1" customWidth="1"/>
    <col min="7172" max="7172" width="26.6640625" customWidth="1"/>
    <col min="7174" max="7174" width="13.44140625" customWidth="1"/>
    <col min="7179" max="7179" width="10.88671875" customWidth="1"/>
    <col min="7180" max="7180" width="10" bestFit="1" customWidth="1"/>
    <col min="7425" max="7425" width="14.88671875" customWidth="1"/>
    <col min="7426" max="7426" width="12.88671875" bestFit="1" customWidth="1"/>
    <col min="7427" max="7427" width="10.44140625" bestFit="1" customWidth="1"/>
    <col min="7428" max="7428" width="26.6640625" customWidth="1"/>
    <col min="7430" max="7430" width="13.44140625" customWidth="1"/>
    <col min="7435" max="7435" width="10.88671875" customWidth="1"/>
    <col min="7436" max="7436" width="10" bestFit="1" customWidth="1"/>
    <col min="7681" max="7681" width="14.88671875" customWidth="1"/>
    <col min="7682" max="7682" width="12.88671875" bestFit="1" customWidth="1"/>
    <col min="7683" max="7683" width="10.44140625" bestFit="1" customWidth="1"/>
    <col min="7684" max="7684" width="26.6640625" customWidth="1"/>
    <col min="7686" max="7686" width="13.44140625" customWidth="1"/>
    <col min="7691" max="7691" width="10.88671875" customWidth="1"/>
    <col min="7692" max="7692" width="10" bestFit="1" customWidth="1"/>
    <col min="7937" max="7937" width="14.88671875" customWidth="1"/>
    <col min="7938" max="7938" width="12.88671875" bestFit="1" customWidth="1"/>
    <col min="7939" max="7939" width="10.44140625" bestFit="1" customWidth="1"/>
    <col min="7940" max="7940" width="26.6640625" customWidth="1"/>
    <col min="7942" max="7942" width="13.44140625" customWidth="1"/>
    <col min="7947" max="7947" width="10.88671875" customWidth="1"/>
    <col min="7948" max="7948" width="10" bestFit="1" customWidth="1"/>
    <col min="8193" max="8193" width="14.88671875" customWidth="1"/>
    <col min="8194" max="8194" width="12.88671875" bestFit="1" customWidth="1"/>
    <col min="8195" max="8195" width="10.44140625" bestFit="1" customWidth="1"/>
    <col min="8196" max="8196" width="26.6640625" customWidth="1"/>
    <col min="8198" max="8198" width="13.44140625" customWidth="1"/>
    <col min="8203" max="8203" width="10.88671875" customWidth="1"/>
    <col min="8204" max="8204" width="10" bestFit="1" customWidth="1"/>
    <col min="8449" max="8449" width="14.88671875" customWidth="1"/>
    <col min="8450" max="8450" width="12.88671875" bestFit="1" customWidth="1"/>
    <col min="8451" max="8451" width="10.44140625" bestFit="1" customWidth="1"/>
    <col min="8452" max="8452" width="26.6640625" customWidth="1"/>
    <col min="8454" max="8454" width="13.44140625" customWidth="1"/>
    <col min="8459" max="8459" width="10.88671875" customWidth="1"/>
    <col min="8460" max="8460" width="10" bestFit="1" customWidth="1"/>
    <col min="8705" max="8705" width="14.88671875" customWidth="1"/>
    <col min="8706" max="8706" width="12.88671875" bestFit="1" customWidth="1"/>
    <col min="8707" max="8707" width="10.44140625" bestFit="1" customWidth="1"/>
    <col min="8708" max="8708" width="26.6640625" customWidth="1"/>
    <col min="8710" max="8710" width="13.44140625" customWidth="1"/>
    <col min="8715" max="8715" width="10.88671875" customWidth="1"/>
    <col min="8716" max="8716" width="10" bestFit="1" customWidth="1"/>
    <col min="8961" max="8961" width="14.88671875" customWidth="1"/>
    <col min="8962" max="8962" width="12.88671875" bestFit="1" customWidth="1"/>
    <col min="8963" max="8963" width="10.44140625" bestFit="1" customWidth="1"/>
    <col min="8964" max="8964" width="26.6640625" customWidth="1"/>
    <col min="8966" max="8966" width="13.44140625" customWidth="1"/>
    <col min="8971" max="8971" width="10.88671875" customWidth="1"/>
    <col min="8972" max="8972" width="10" bestFit="1" customWidth="1"/>
    <col min="9217" max="9217" width="14.88671875" customWidth="1"/>
    <col min="9218" max="9218" width="12.88671875" bestFit="1" customWidth="1"/>
    <col min="9219" max="9219" width="10.44140625" bestFit="1" customWidth="1"/>
    <col min="9220" max="9220" width="26.6640625" customWidth="1"/>
    <col min="9222" max="9222" width="13.44140625" customWidth="1"/>
    <col min="9227" max="9227" width="10.88671875" customWidth="1"/>
    <col min="9228" max="9228" width="10" bestFit="1" customWidth="1"/>
    <col min="9473" max="9473" width="14.88671875" customWidth="1"/>
    <col min="9474" max="9474" width="12.88671875" bestFit="1" customWidth="1"/>
    <col min="9475" max="9475" width="10.44140625" bestFit="1" customWidth="1"/>
    <col min="9476" max="9476" width="26.6640625" customWidth="1"/>
    <col min="9478" max="9478" width="13.44140625" customWidth="1"/>
    <col min="9483" max="9483" width="10.88671875" customWidth="1"/>
    <col min="9484" max="9484" width="10" bestFit="1" customWidth="1"/>
    <col min="9729" max="9729" width="14.88671875" customWidth="1"/>
    <col min="9730" max="9730" width="12.88671875" bestFit="1" customWidth="1"/>
    <col min="9731" max="9731" width="10.44140625" bestFit="1" customWidth="1"/>
    <col min="9732" max="9732" width="26.6640625" customWidth="1"/>
    <col min="9734" max="9734" width="13.44140625" customWidth="1"/>
    <col min="9739" max="9739" width="10.88671875" customWidth="1"/>
    <col min="9740" max="9740" width="10" bestFit="1" customWidth="1"/>
    <col min="9985" max="9985" width="14.88671875" customWidth="1"/>
    <col min="9986" max="9986" width="12.88671875" bestFit="1" customWidth="1"/>
    <col min="9987" max="9987" width="10.44140625" bestFit="1" customWidth="1"/>
    <col min="9988" max="9988" width="26.6640625" customWidth="1"/>
    <col min="9990" max="9990" width="13.44140625" customWidth="1"/>
    <col min="9995" max="9995" width="10.88671875" customWidth="1"/>
    <col min="9996" max="9996" width="10" bestFit="1" customWidth="1"/>
    <col min="10241" max="10241" width="14.88671875" customWidth="1"/>
    <col min="10242" max="10242" width="12.88671875" bestFit="1" customWidth="1"/>
    <col min="10243" max="10243" width="10.44140625" bestFit="1" customWidth="1"/>
    <col min="10244" max="10244" width="26.6640625" customWidth="1"/>
    <col min="10246" max="10246" width="13.44140625" customWidth="1"/>
    <col min="10251" max="10251" width="10.88671875" customWidth="1"/>
    <col min="10252" max="10252" width="10" bestFit="1" customWidth="1"/>
    <col min="10497" max="10497" width="14.88671875" customWidth="1"/>
    <col min="10498" max="10498" width="12.88671875" bestFit="1" customWidth="1"/>
    <col min="10499" max="10499" width="10.44140625" bestFit="1" customWidth="1"/>
    <col min="10500" max="10500" width="26.6640625" customWidth="1"/>
    <col min="10502" max="10502" width="13.44140625" customWidth="1"/>
    <col min="10507" max="10507" width="10.88671875" customWidth="1"/>
    <col min="10508" max="10508" width="10" bestFit="1" customWidth="1"/>
    <col min="10753" max="10753" width="14.88671875" customWidth="1"/>
    <col min="10754" max="10754" width="12.88671875" bestFit="1" customWidth="1"/>
    <col min="10755" max="10755" width="10.44140625" bestFit="1" customWidth="1"/>
    <col min="10756" max="10756" width="26.6640625" customWidth="1"/>
    <col min="10758" max="10758" width="13.44140625" customWidth="1"/>
    <col min="10763" max="10763" width="10.88671875" customWidth="1"/>
    <col min="10764" max="10764" width="10" bestFit="1" customWidth="1"/>
    <col min="11009" max="11009" width="14.88671875" customWidth="1"/>
    <col min="11010" max="11010" width="12.88671875" bestFit="1" customWidth="1"/>
    <col min="11011" max="11011" width="10.44140625" bestFit="1" customWidth="1"/>
    <col min="11012" max="11012" width="26.6640625" customWidth="1"/>
    <col min="11014" max="11014" width="13.44140625" customWidth="1"/>
    <col min="11019" max="11019" width="10.88671875" customWidth="1"/>
    <col min="11020" max="11020" width="10" bestFit="1" customWidth="1"/>
    <col min="11265" max="11265" width="14.88671875" customWidth="1"/>
    <col min="11266" max="11266" width="12.88671875" bestFit="1" customWidth="1"/>
    <col min="11267" max="11267" width="10.44140625" bestFit="1" customWidth="1"/>
    <col min="11268" max="11268" width="26.6640625" customWidth="1"/>
    <col min="11270" max="11270" width="13.44140625" customWidth="1"/>
    <col min="11275" max="11275" width="10.88671875" customWidth="1"/>
    <col min="11276" max="11276" width="10" bestFit="1" customWidth="1"/>
    <col min="11521" max="11521" width="14.88671875" customWidth="1"/>
    <col min="11522" max="11522" width="12.88671875" bestFit="1" customWidth="1"/>
    <col min="11523" max="11523" width="10.44140625" bestFit="1" customWidth="1"/>
    <col min="11524" max="11524" width="26.6640625" customWidth="1"/>
    <col min="11526" max="11526" width="13.44140625" customWidth="1"/>
    <col min="11531" max="11531" width="10.88671875" customWidth="1"/>
    <col min="11532" max="11532" width="10" bestFit="1" customWidth="1"/>
    <col min="11777" max="11777" width="14.88671875" customWidth="1"/>
    <col min="11778" max="11778" width="12.88671875" bestFit="1" customWidth="1"/>
    <col min="11779" max="11779" width="10.44140625" bestFit="1" customWidth="1"/>
    <col min="11780" max="11780" width="26.6640625" customWidth="1"/>
    <col min="11782" max="11782" width="13.44140625" customWidth="1"/>
    <col min="11787" max="11787" width="10.88671875" customWidth="1"/>
    <col min="11788" max="11788" width="10" bestFit="1" customWidth="1"/>
    <col min="12033" max="12033" width="14.88671875" customWidth="1"/>
    <col min="12034" max="12034" width="12.88671875" bestFit="1" customWidth="1"/>
    <col min="12035" max="12035" width="10.44140625" bestFit="1" customWidth="1"/>
    <col min="12036" max="12036" width="26.6640625" customWidth="1"/>
    <col min="12038" max="12038" width="13.44140625" customWidth="1"/>
    <col min="12043" max="12043" width="10.88671875" customWidth="1"/>
    <col min="12044" max="12044" width="10" bestFit="1" customWidth="1"/>
    <col min="12289" max="12289" width="14.88671875" customWidth="1"/>
    <col min="12290" max="12290" width="12.88671875" bestFit="1" customWidth="1"/>
    <col min="12291" max="12291" width="10.44140625" bestFit="1" customWidth="1"/>
    <col min="12292" max="12292" width="26.6640625" customWidth="1"/>
    <col min="12294" max="12294" width="13.44140625" customWidth="1"/>
    <col min="12299" max="12299" width="10.88671875" customWidth="1"/>
    <col min="12300" max="12300" width="10" bestFit="1" customWidth="1"/>
    <col min="12545" max="12545" width="14.88671875" customWidth="1"/>
    <col min="12546" max="12546" width="12.88671875" bestFit="1" customWidth="1"/>
    <col min="12547" max="12547" width="10.44140625" bestFit="1" customWidth="1"/>
    <col min="12548" max="12548" width="26.6640625" customWidth="1"/>
    <col min="12550" max="12550" width="13.44140625" customWidth="1"/>
    <col min="12555" max="12555" width="10.88671875" customWidth="1"/>
    <col min="12556" max="12556" width="10" bestFit="1" customWidth="1"/>
    <col min="12801" max="12801" width="14.88671875" customWidth="1"/>
    <col min="12802" max="12802" width="12.88671875" bestFit="1" customWidth="1"/>
    <col min="12803" max="12803" width="10.44140625" bestFit="1" customWidth="1"/>
    <col min="12804" max="12804" width="26.6640625" customWidth="1"/>
    <col min="12806" max="12806" width="13.44140625" customWidth="1"/>
    <col min="12811" max="12811" width="10.88671875" customWidth="1"/>
    <col min="12812" max="12812" width="10" bestFit="1" customWidth="1"/>
    <col min="13057" max="13057" width="14.88671875" customWidth="1"/>
    <col min="13058" max="13058" width="12.88671875" bestFit="1" customWidth="1"/>
    <col min="13059" max="13059" width="10.44140625" bestFit="1" customWidth="1"/>
    <col min="13060" max="13060" width="26.6640625" customWidth="1"/>
    <col min="13062" max="13062" width="13.44140625" customWidth="1"/>
    <col min="13067" max="13067" width="10.88671875" customWidth="1"/>
    <col min="13068" max="13068" width="10" bestFit="1" customWidth="1"/>
    <col min="13313" max="13313" width="14.88671875" customWidth="1"/>
    <col min="13314" max="13314" width="12.88671875" bestFit="1" customWidth="1"/>
    <col min="13315" max="13315" width="10.44140625" bestFit="1" customWidth="1"/>
    <col min="13316" max="13316" width="26.6640625" customWidth="1"/>
    <col min="13318" max="13318" width="13.44140625" customWidth="1"/>
    <col min="13323" max="13323" width="10.88671875" customWidth="1"/>
    <col min="13324" max="13324" width="10" bestFit="1" customWidth="1"/>
    <col min="13569" max="13569" width="14.88671875" customWidth="1"/>
    <col min="13570" max="13570" width="12.88671875" bestFit="1" customWidth="1"/>
    <col min="13571" max="13571" width="10.44140625" bestFit="1" customWidth="1"/>
    <col min="13572" max="13572" width="26.6640625" customWidth="1"/>
    <col min="13574" max="13574" width="13.44140625" customWidth="1"/>
    <col min="13579" max="13579" width="10.88671875" customWidth="1"/>
    <col min="13580" max="13580" width="10" bestFit="1" customWidth="1"/>
    <col min="13825" max="13825" width="14.88671875" customWidth="1"/>
    <col min="13826" max="13826" width="12.88671875" bestFit="1" customWidth="1"/>
    <col min="13827" max="13827" width="10.44140625" bestFit="1" customWidth="1"/>
    <col min="13828" max="13828" width="26.6640625" customWidth="1"/>
    <col min="13830" max="13830" width="13.44140625" customWidth="1"/>
    <col min="13835" max="13835" width="10.88671875" customWidth="1"/>
    <col min="13836" max="13836" width="10" bestFit="1" customWidth="1"/>
    <col min="14081" max="14081" width="14.88671875" customWidth="1"/>
    <col min="14082" max="14082" width="12.88671875" bestFit="1" customWidth="1"/>
    <col min="14083" max="14083" width="10.44140625" bestFit="1" customWidth="1"/>
    <col min="14084" max="14084" width="26.6640625" customWidth="1"/>
    <col min="14086" max="14086" width="13.44140625" customWidth="1"/>
    <col min="14091" max="14091" width="10.88671875" customWidth="1"/>
    <col min="14092" max="14092" width="10" bestFit="1" customWidth="1"/>
    <col min="14337" max="14337" width="14.88671875" customWidth="1"/>
    <col min="14338" max="14338" width="12.88671875" bestFit="1" customWidth="1"/>
    <col min="14339" max="14339" width="10.44140625" bestFit="1" customWidth="1"/>
    <col min="14340" max="14340" width="26.6640625" customWidth="1"/>
    <col min="14342" max="14342" width="13.44140625" customWidth="1"/>
    <col min="14347" max="14347" width="10.88671875" customWidth="1"/>
    <col min="14348" max="14348" width="10" bestFit="1" customWidth="1"/>
    <col min="14593" max="14593" width="14.88671875" customWidth="1"/>
    <col min="14594" max="14594" width="12.88671875" bestFit="1" customWidth="1"/>
    <col min="14595" max="14595" width="10.44140625" bestFit="1" customWidth="1"/>
    <col min="14596" max="14596" width="26.6640625" customWidth="1"/>
    <col min="14598" max="14598" width="13.44140625" customWidth="1"/>
    <col min="14603" max="14603" width="10.88671875" customWidth="1"/>
    <col min="14604" max="14604" width="10" bestFit="1" customWidth="1"/>
    <col min="14849" max="14849" width="14.88671875" customWidth="1"/>
    <col min="14850" max="14850" width="12.88671875" bestFit="1" customWidth="1"/>
    <col min="14851" max="14851" width="10.44140625" bestFit="1" customWidth="1"/>
    <col min="14852" max="14852" width="26.6640625" customWidth="1"/>
    <col min="14854" max="14854" width="13.44140625" customWidth="1"/>
    <col min="14859" max="14859" width="10.88671875" customWidth="1"/>
    <col min="14860" max="14860" width="10" bestFit="1" customWidth="1"/>
    <col min="15105" max="15105" width="14.88671875" customWidth="1"/>
    <col min="15106" max="15106" width="12.88671875" bestFit="1" customWidth="1"/>
    <col min="15107" max="15107" width="10.44140625" bestFit="1" customWidth="1"/>
    <col min="15108" max="15108" width="26.6640625" customWidth="1"/>
    <col min="15110" max="15110" width="13.44140625" customWidth="1"/>
    <col min="15115" max="15115" width="10.88671875" customWidth="1"/>
    <col min="15116" max="15116" width="10" bestFit="1" customWidth="1"/>
    <col min="15361" max="15361" width="14.88671875" customWidth="1"/>
    <col min="15362" max="15362" width="12.88671875" bestFit="1" customWidth="1"/>
    <col min="15363" max="15363" width="10.44140625" bestFit="1" customWidth="1"/>
    <col min="15364" max="15364" width="26.6640625" customWidth="1"/>
    <col min="15366" max="15366" width="13.44140625" customWidth="1"/>
    <col min="15371" max="15371" width="10.88671875" customWidth="1"/>
    <col min="15372" max="15372" width="10" bestFit="1" customWidth="1"/>
    <col min="15617" max="15617" width="14.88671875" customWidth="1"/>
    <col min="15618" max="15618" width="12.88671875" bestFit="1" customWidth="1"/>
    <col min="15619" max="15619" width="10.44140625" bestFit="1" customWidth="1"/>
    <col min="15620" max="15620" width="26.6640625" customWidth="1"/>
    <col min="15622" max="15622" width="13.44140625" customWidth="1"/>
    <col min="15627" max="15627" width="10.88671875" customWidth="1"/>
    <col min="15628" max="15628" width="10" bestFit="1" customWidth="1"/>
    <col min="15873" max="15873" width="14.88671875" customWidth="1"/>
    <col min="15874" max="15874" width="12.88671875" bestFit="1" customWidth="1"/>
    <col min="15875" max="15875" width="10.44140625" bestFit="1" customWidth="1"/>
    <col min="15876" max="15876" width="26.6640625" customWidth="1"/>
    <col min="15878" max="15878" width="13.44140625" customWidth="1"/>
    <col min="15883" max="15883" width="10.88671875" customWidth="1"/>
    <col min="15884" max="15884" width="10" bestFit="1" customWidth="1"/>
    <col min="16129" max="16129" width="14.88671875" customWidth="1"/>
    <col min="16130" max="16130" width="12.88671875" bestFit="1" customWidth="1"/>
    <col min="16131" max="16131" width="10.44140625" bestFit="1" customWidth="1"/>
    <col min="16132" max="16132" width="26.6640625" customWidth="1"/>
    <col min="16134" max="16134" width="13.44140625" customWidth="1"/>
    <col min="16139" max="16139" width="10.88671875" customWidth="1"/>
    <col min="16140" max="16140" width="10" bestFit="1" customWidth="1"/>
  </cols>
  <sheetData>
    <row r="1" spans="1:15" x14ac:dyDescent="0.3">
      <c r="A1" s="1" t="s">
        <v>0</v>
      </c>
    </row>
    <row r="2" spans="1:15" x14ac:dyDescent="0.3">
      <c r="A2" s="147" t="s">
        <v>297</v>
      </c>
      <c r="C2" s="2"/>
      <c r="D2" s="2"/>
      <c r="E2" s="2"/>
      <c r="F2" s="54"/>
      <c r="G2" s="54"/>
      <c r="H2" s="54"/>
      <c r="I2" s="55" t="s">
        <v>58</v>
      </c>
      <c r="K2" s="50" t="s">
        <v>58</v>
      </c>
      <c r="L2" s="35" t="s">
        <v>59</v>
      </c>
      <c r="M2" s="35" t="s">
        <v>317</v>
      </c>
    </row>
    <row r="3" spans="1:15" ht="15" thickBot="1" x14ac:dyDescent="0.35">
      <c r="B3" s="11">
        <f>((A12/B6+B10)*B8)/12</f>
        <v>5935.1319953811835</v>
      </c>
      <c r="C3" s="4" t="s">
        <v>1</v>
      </c>
      <c r="D3" s="5" t="s">
        <v>2</v>
      </c>
      <c r="E3" s="278" t="s">
        <v>3</v>
      </c>
      <c r="F3" s="56"/>
      <c r="G3" s="54"/>
      <c r="H3" s="57" t="s">
        <v>4</v>
      </c>
      <c r="I3" s="58">
        <f>B3/B8</f>
        <v>0.82432388824738656</v>
      </c>
      <c r="K3" s="51">
        <f>I3*B8</f>
        <v>5935.1319953811835</v>
      </c>
      <c r="L3" s="36">
        <f>K3/31</f>
        <v>191.45587081874785</v>
      </c>
      <c r="M3" s="36">
        <f>L3/6</f>
        <v>31.909311803124641</v>
      </c>
    </row>
    <row r="4" spans="1:15" x14ac:dyDescent="0.3">
      <c r="B4" s="6" t="s">
        <v>5</v>
      </c>
      <c r="C4" s="4"/>
      <c r="D4" s="9">
        <v>12</v>
      </c>
      <c r="E4" s="278"/>
      <c r="F4" s="56"/>
      <c r="G4" s="54"/>
      <c r="H4" s="57" t="s">
        <v>6</v>
      </c>
      <c r="I4" s="59">
        <f>I3*1.21</f>
        <v>0.99743190477933774</v>
      </c>
      <c r="K4" s="51">
        <f>I4*B8</f>
        <v>7181.5097144112315</v>
      </c>
      <c r="L4" s="36">
        <f>K4/31</f>
        <v>231.6616036906849</v>
      </c>
      <c r="M4" s="111">
        <f>L4/5</f>
        <v>46.332320738136978</v>
      </c>
      <c r="N4" s="37"/>
    </row>
    <row r="5" spans="1:15" x14ac:dyDescent="0.3">
      <c r="C5" s="2"/>
      <c r="D5" s="2"/>
      <c r="E5" s="2"/>
    </row>
    <row r="6" spans="1:15" x14ac:dyDescent="0.3">
      <c r="B6" s="47">
        <v>7200</v>
      </c>
      <c r="C6" t="s">
        <v>7</v>
      </c>
      <c r="D6" s="12" t="s">
        <v>8</v>
      </c>
    </row>
    <row r="7" spans="1:15" ht="18" customHeight="1" x14ac:dyDescent="0.3">
      <c r="B7" s="8"/>
      <c r="D7" s="12"/>
      <c r="O7" s="37"/>
    </row>
    <row r="8" spans="1:15" x14ac:dyDescent="0.3">
      <c r="A8" s="13">
        <f>B8/B6</f>
        <v>1</v>
      </c>
      <c r="B8" s="47">
        <v>7200</v>
      </c>
      <c r="C8" t="s">
        <v>9</v>
      </c>
      <c r="D8" s="14" t="s">
        <v>10</v>
      </c>
      <c r="E8" s="14"/>
    </row>
    <row r="9" spans="1:15" ht="5.25" customHeight="1" x14ac:dyDescent="0.3">
      <c r="B9" s="8"/>
      <c r="D9" s="12"/>
    </row>
    <row r="10" spans="1:15" x14ac:dyDescent="0.3">
      <c r="B10" s="11">
        <f>A42</f>
        <v>0.78695249230197473</v>
      </c>
      <c r="C10" t="s">
        <v>11</v>
      </c>
      <c r="D10" s="14" t="s">
        <v>12</v>
      </c>
    </row>
    <row r="11" spans="1:15" ht="6.75" customHeight="1" x14ac:dyDescent="0.3">
      <c r="C11" s="14"/>
    </row>
    <row r="12" spans="1:15" x14ac:dyDescent="0.3">
      <c r="A12" s="11">
        <f>B19+B24+B26+B28+B30+B31+B32</f>
        <v>65555.525999999983</v>
      </c>
      <c r="B12" t="s">
        <v>13</v>
      </c>
      <c r="C12" t="s">
        <v>14</v>
      </c>
    </row>
    <row r="14" spans="1:15" x14ac:dyDescent="0.3">
      <c r="D14" s="12" t="s">
        <v>15</v>
      </c>
    </row>
    <row r="15" spans="1:15" x14ac:dyDescent="0.3">
      <c r="D15" s="15"/>
    </row>
    <row r="16" spans="1:15" x14ac:dyDescent="0.3">
      <c r="D16" s="16" t="s">
        <v>273</v>
      </c>
    </row>
    <row r="17" spans="1:18" x14ac:dyDescent="0.3">
      <c r="D17" s="17"/>
    </row>
    <row r="18" spans="1:18" x14ac:dyDescent="0.3">
      <c r="D18" s="18" t="s">
        <v>16</v>
      </c>
    </row>
    <row r="19" spans="1:18" x14ac:dyDescent="0.3">
      <c r="B19" s="11">
        <f>C66</f>
        <v>55713.999999999993</v>
      </c>
      <c r="C19" t="s">
        <v>17</v>
      </c>
      <c r="D19" s="277" t="s">
        <v>243</v>
      </c>
      <c r="E19" s="277"/>
      <c r="F19" s="277"/>
      <c r="G19" s="277"/>
      <c r="H19" s="277"/>
      <c r="I19" s="277"/>
      <c r="J19" s="277"/>
      <c r="K19" s="277"/>
      <c r="L19" s="277"/>
      <c r="M19" s="277"/>
      <c r="N19" s="277"/>
      <c r="O19" s="277"/>
      <c r="P19" s="277"/>
      <c r="Q19" s="277"/>
      <c r="R19" s="277"/>
    </row>
    <row r="20" spans="1:18" x14ac:dyDescent="0.3">
      <c r="B20" s="11"/>
      <c r="D20" s="277" t="s">
        <v>244</v>
      </c>
      <c r="E20" s="277"/>
      <c r="F20" s="277"/>
      <c r="G20" s="277"/>
      <c r="H20" s="277"/>
      <c r="I20" s="277"/>
      <c r="J20" s="277"/>
      <c r="K20" s="277"/>
      <c r="L20" s="277"/>
      <c r="M20" s="277"/>
      <c r="N20" s="277"/>
      <c r="O20" s="277"/>
      <c r="P20" s="277"/>
      <c r="Q20" s="277"/>
      <c r="R20" s="277"/>
    </row>
    <row r="21" spans="1:18" x14ac:dyDescent="0.3">
      <c r="B21" s="11"/>
      <c r="D21" s="277" t="s">
        <v>245</v>
      </c>
      <c r="E21" s="277"/>
      <c r="F21" s="277"/>
      <c r="G21" s="277"/>
      <c r="H21" s="277"/>
      <c r="I21" s="277"/>
      <c r="J21" s="277"/>
      <c r="K21" s="277"/>
      <c r="L21" s="277"/>
      <c r="M21" s="277"/>
      <c r="N21" s="277"/>
      <c r="O21" s="277"/>
      <c r="P21" s="277"/>
      <c r="Q21" s="277"/>
      <c r="R21" s="277"/>
    </row>
    <row r="22" spans="1:18" x14ac:dyDescent="0.3">
      <c r="A22" s="35" t="s">
        <v>17</v>
      </c>
      <c r="B22" s="11"/>
      <c r="D22" s="277" t="s">
        <v>246</v>
      </c>
      <c r="E22" s="277"/>
      <c r="F22" s="277"/>
      <c r="G22" s="277"/>
      <c r="H22" s="277"/>
      <c r="I22" s="277"/>
      <c r="J22" s="277"/>
      <c r="K22" s="277"/>
      <c r="L22" s="277"/>
      <c r="M22" s="277"/>
      <c r="N22" s="277"/>
      <c r="O22" s="277"/>
      <c r="P22" s="277"/>
      <c r="Q22" s="277"/>
      <c r="R22" s="277"/>
    </row>
    <row r="23" spans="1:18" x14ac:dyDescent="0.3">
      <c r="B23" s="8"/>
      <c r="D23" s="277" t="s">
        <v>247</v>
      </c>
      <c r="E23" s="277"/>
      <c r="F23" s="277"/>
      <c r="G23" s="277"/>
      <c r="H23" s="277"/>
      <c r="I23" s="277"/>
      <c r="J23" s="277"/>
      <c r="K23" s="277"/>
      <c r="L23" s="277"/>
      <c r="M23" s="277"/>
      <c r="N23" s="277"/>
      <c r="O23" s="277"/>
      <c r="P23" s="277"/>
      <c r="Q23" s="277"/>
      <c r="R23" s="277"/>
    </row>
    <row r="24" spans="1:18" x14ac:dyDescent="0.3">
      <c r="B24" s="11">
        <f>C69</f>
        <v>8860.025999999998</v>
      </c>
      <c r="C24" t="s">
        <v>18</v>
      </c>
      <c r="D24" s="277" t="s">
        <v>248</v>
      </c>
      <c r="E24" s="277"/>
      <c r="F24" s="277"/>
      <c r="G24" s="277"/>
      <c r="H24" s="277"/>
      <c r="I24" s="277"/>
      <c r="J24" s="277"/>
      <c r="K24" s="277"/>
      <c r="L24" s="277"/>
      <c r="M24" s="277"/>
      <c r="N24" s="277"/>
      <c r="O24" s="277"/>
      <c r="P24" s="277"/>
      <c r="Q24" s="277"/>
      <c r="R24" s="277"/>
    </row>
    <row r="25" spans="1:18" x14ac:dyDescent="0.3">
      <c r="B25" s="8"/>
      <c r="D25" t="s">
        <v>249</v>
      </c>
    </row>
    <row r="26" spans="1:18" x14ac:dyDescent="0.3">
      <c r="B26" s="48">
        <f>[1]Tame!B98+[1]Tame!B111</f>
        <v>633</v>
      </c>
      <c r="C26" t="s">
        <v>19</v>
      </c>
      <c r="D26" s="277" t="s">
        <v>250</v>
      </c>
      <c r="E26" s="277"/>
      <c r="F26" s="277"/>
      <c r="G26" s="277"/>
      <c r="H26" s="277"/>
      <c r="I26" s="277"/>
      <c r="J26" s="277"/>
      <c r="K26" s="277"/>
      <c r="L26" s="277"/>
      <c r="M26" s="277"/>
      <c r="N26" s="277"/>
      <c r="O26" s="277"/>
      <c r="P26" s="277"/>
      <c r="Q26" s="277"/>
      <c r="R26" s="277"/>
    </row>
    <row r="27" spans="1:18" x14ac:dyDescent="0.3">
      <c r="B27" s="8"/>
      <c r="D27" t="s">
        <v>251</v>
      </c>
    </row>
    <row r="28" spans="1:18" x14ac:dyDescent="0.3">
      <c r="B28" s="48">
        <f>[1]Tame!C93</f>
        <v>0</v>
      </c>
      <c r="C28" t="s">
        <v>20</v>
      </c>
      <c r="D28" t="s">
        <v>21</v>
      </c>
    </row>
    <row r="29" spans="1:18" x14ac:dyDescent="0.3">
      <c r="B29" s="8"/>
      <c r="D29" t="s">
        <v>22</v>
      </c>
    </row>
    <row r="30" spans="1:18" x14ac:dyDescent="0.3">
      <c r="B30" s="11">
        <f>[1]Tame!C65</f>
        <v>348.5</v>
      </c>
      <c r="C30" t="s">
        <v>23</v>
      </c>
      <c r="D30" t="s">
        <v>24</v>
      </c>
    </row>
    <row r="31" spans="1:18" x14ac:dyDescent="0.3">
      <c r="B31" s="48">
        <v>0</v>
      </c>
      <c r="C31" t="s">
        <v>25</v>
      </c>
      <c r="D31" t="s">
        <v>26</v>
      </c>
    </row>
    <row r="32" spans="1:18" x14ac:dyDescent="0.3">
      <c r="B32" s="11"/>
      <c r="C32" t="s">
        <v>27</v>
      </c>
      <c r="D32" t="s">
        <v>28</v>
      </c>
    </row>
    <row r="33" spans="1:18" x14ac:dyDescent="0.3">
      <c r="B33" s="11">
        <v>0</v>
      </c>
      <c r="C33" t="s">
        <v>252</v>
      </c>
      <c r="D33" s="277" t="s">
        <v>253</v>
      </c>
      <c r="E33" s="277"/>
      <c r="F33" s="277"/>
      <c r="G33" s="277"/>
      <c r="H33" s="277"/>
      <c r="I33" s="277"/>
      <c r="J33" s="277"/>
      <c r="K33" s="277"/>
      <c r="L33" s="277"/>
      <c r="M33" s="277"/>
      <c r="N33" s="277"/>
      <c r="O33" s="277"/>
      <c r="P33" s="277"/>
      <c r="Q33" s="277"/>
      <c r="R33" s="277"/>
    </row>
    <row r="34" spans="1:18" x14ac:dyDescent="0.3">
      <c r="B34" s="11"/>
      <c r="D34" s="277" t="s">
        <v>254</v>
      </c>
      <c r="E34" s="277"/>
      <c r="F34" s="277"/>
      <c r="G34" s="277"/>
      <c r="H34" s="277"/>
      <c r="I34" s="277"/>
      <c r="J34" s="277"/>
      <c r="K34" s="277"/>
      <c r="L34" s="277"/>
      <c r="M34" s="277"/>
      <c r="N34" s="277"/>
      <c r="O34" s="277"/>
      <c r="P34" s="277"/>
      <c r="Q34" s="277"/>
      <c r="R34" s="277"/>
    </row>
    <row r="35" spans="1:18" x14ac:dyDescent="0.3">
      <c r="B35" s="11"/>
      <c r="D35" s="277" t="s">
        <v>255</v>
      </c>
      <c r="E35" s="277"/>
      <c r="F35" s="277"/>
      <c r="G35" s="277"/>
      <c r="H35" s="277"/>
      <c r="I35" s="277"/>
      <c r="J35" s="277"/>
      <c r="K35" s="277"/>
      <c r="L35" s="277"/>
      <c r="M35" s="277"/>
      <c r="N35" s="277"/>
      <c r="O35" s="277"/>
      <c r="P35" s="277"/>
      <c r="Q35" s="277"/>
      <c r="R35" s="277"/>
    </row>
    <row r="36" spans="1:18" x14ac:dyDescent="0.3">
      <c r="B36" s="11"/>
      <c r="D36" s="277" t="s">
        <v>256</v>
      </c>
      <c r="E36" s="277"/>
      <c r="F36" s="277"/>
      <c r="G36" s="277"/>
      <c r="H36" s="277"/>
      <c r="I36" s="277"/>
      <c r="J36" s="277"/>
      <c r="K36" s="277"/>
      <c r="L36" s="277"/>
      <c r="M36" s="277"/>
      <c r="N36" s="277"/>
      <c r="O36" s="277"/>
      <c r="P36" s="277"/>
      <c r="Q36" s="277"/>
      <c r="R36" s="277"/>
    </row>
    <row r="37" spans="1:18" x14ac:dyDescent="0.3">
      <c r="B37" s="11"/>
      <c r="D37" s="277" t="s">
        <v>257</v>
      </c>
      <c r="E37" s="277"/>
      <c r="F37" s="277"/>
      <c r="G37" s="277"/>
      <c r="H37" s="277"/>
      <c r="I37" s="277"/>
      <c r="J37" s="277"/>
      <c r="K37" s="277"/>
      <c r="L37" s="277"/>
      <c r="M37" s="277"/>
      <c r="N37" s="277"/>
      <c r="O37" s="277"/>
      <c r="P37" s="277"/>
      <c r="Q37" s="277"/>
      <c r="R37" s="277"/>
    </row>
    <row r="38" spans="1:18" x14ac:dyDescent="0.3">
      <c r="B38" s="11"/>
      <c r="D38" s="277" t="s">
        <v>258</v>
      </c>
      <c r="E38" s="277"/>
      <c r="F38" s="277"/>
      <c r="G38" s="277"/>
      <c r="H38" s="277"/>
      <c r="I38" s="277"/>
      <c r="J38" s="277"/>
      <c r="K38" s="277"/>
      <c r="L38" s="277"/>
      <c r="M38" s="277"/>
      <c r="N38" s="277"/>
      <c r="O38" s="277"/>
      <c r="P38" s="277"/>
      <c r="Q38" s="277"/>
      <c r="R38" s="277"/>
    </row>
    <row r="39" spans="1:18" x14ac:dyDescent="0.3">
      <c r="B39" s="11">
        <v>1</v>
      </c>
      <c r="C39" t="s">
        <v>259</v>
      </c>
      <c r="D39" s="277" t="s">
        <v>260</v>
      </c>
      <c r="E39" s="277"/>
      <c r="F39" s="277"/>
      <c r="G39" s="277"/>
      <c r="H39" s="277"/>
      <c r="I39" s="277"/>
      <c r="J39" s="277"/>
      <c r="K39" s="277"/>
      <c r="L39" s="277"/>
      <c r="M39" s="277"/>
      <c r="N39" s="277"/>
      <c r="O39" s="277"/>
      <c r="P39" s="277"/>
      <c r="Q39" s="277"/>
      <c r="R39" s="277"/>
    </row>
    <row r="40" spans="1:18" x14ac:dyDescent="0.3">
      <c r="B40" s="11"/>
      <c r="D40" s="163" t="s">
        <v>261</v>
      </c>
      <c r="E40" s="163"/>
      <c r="F40" s="163"/>
      <c r="G40" s="163"/>
      <c r="H40" s="163"/>
      <c r="I40" s="163"/>
      <c r="J40" s="163"/>
      <c r="K40" s="163"/>
      <c r="L40" s="163"/>
      <c r="M40" s="163"/>
      <c r="N40" s="163"/>
      <c r="O40" s="163"/>
      <c r="P40" s="163"/>
      <c r="Q40" s="163"/>
      <c r="R40" s="163"/>
    </row>
    <row r="42" spans="1:18" ht="30" customHeight="1" x14ac:dyDescent="0.3">
      <c r="A42" s="19">
        <f>B46*B48/B50</f>
        <v>0.78695249230197473</v>
      </c>
      <c r="B42" t="s">
        <v>11</v>
      </c>
      <c r="C42" s="279" t="s">
        <v>29</v>
      </c>
      <c r="D42" s="279"/>
      <c r="E42" s="279"/>
      <c r="F42" s="279"/>
      <c r="G42" s="279"/>
      <c r="H42" s="279"/>
      <c r="I42" s="279"/>
      <c r="J42" s="279"/>
      <c r="K42" s="279"/>
      <c r="L42" s="279"/>
      <c r="M42" s="279"/>
      <c r="N42" s="279"/>
      <c r="O42" s="279"/>
      <c r="P42" s="279"/>
      <c r="Q42" s="279"/>
    </row>
    <row r="44" spans="1:18" x14ac:dyDescent="0.3">
      <c r="E44" s="20" t="s">
        <v>30</v>
      </c>
    </row>
    <row r="45" spans="1:18" x14ac:dyDescent="0.3">
      <c r="E45" s="20" t="s">
        <v>31</v>
      </c>
    </row>
    <row r="46" spans="1:18" ht="46.5" customHeight="1" x14ac:dyDescent="0.3">
      <c r="B46" s="21">
        <f>C80</f>
        <v>34281.474200000004</v>
      </c>
      <c r="C46" t="s">
        <v>32</v>
      </c>
      <c r="D46" s="279" t="s">
        <v>33</v>
      </c>
      <c r="E46" s="279"/>
      <c r="F46" s="279"/>
      <c r="G46" s="279"/>
      <c r="H46" s="279"/>
      <c r="I46" s="279"/>
      <c r="J46" s="279"/>
      <c r="K46" s="279"/>
      <c r="L46" s="279"/>
      <c r="M46" s="279"/>
      <c r="N46" s="279"/>
      <c r="O46" s="279"/>
      <c r="P46" s="279"/>
      <c r="Q46" s="279"/>
    </row>
    <row r="47" spans="1:18" s="2" customFormat="1" ht="7.5" customHeight="1" x14ac:dyDescent="0.3">
      <c r="D47" s="22"/>
      <c r="E47" s="22"/>
      <c r="F47" s="22"/>
      <c r="G47" s="22"/>
      <c r="H47" s="22"/>
      <c r="I47" s="22"/>
      <c r="J47" s="22"/>
      <c r="K47" s="22"/>
      <c r="L47" s="22"/>
      <c r="M47" s="22"/>
      <c r="N47" s="22"/>
      <c r="O47" s="22"/>
      <c r="P47" s="22"/>
      <c r="Q47" s="22"/>
    </row>
    <row r="48" spans="1:18" ht="32.25" customHeight="1" x14ac:dyDescent="0.3">
      <c r="B48" s="19">
        <f>(C71-C71*0.1)/F71</f>
        <v>0.1652804634805996</v>
      </c>
      <c r="C48" t="s">
        <v>34</v>
      </c>
      <c r="D48" s="279" t="s">
        <v>35</v>
      </c>
      <c r="E48" s="279"/>
      <c r="F48" s="279"/>
      <c r="G48" s="279"/>
      <c r="H48" s="279"/>
      <c r="I48" s="279"/>
      <c r="J48" s="279"/>
      <c r="K48" s="279"/>
      <c r="L48" s="279"/>
      <c r="M48" s="279"/>
      <c r="N48" s="279"/>
      <c r="O48" s="279"/>
      <c r="P48" s="279"/>
      <c r="Q48" s="279"/>
    </row>
    <row r="49" spans="1:6" ht="6" customHeight="1" x14ac:dyDescent="0.3"/>
    <row r="50" spans="1:6" x14ac:dyDescent="0.3">
      <c r="B50" s="33">
        <f>B6</f>
        <v>7200</v>
      </c>
      <c r="C50" t="s">
        <v>36</v>
      </c>
      <c r="D50" s="20" t="s">
        <v>37</v>
      </c>
    </row>
    <row r="53" spans="1:6" x14ac:dyDescent="0.3">
      <c r="C53" s="23"/>
      <c r="D53" s="23"/>
      <c r="E53" s="23"/>
      <c r="F53" s="23"/>
    </row>
    <row r="54" spans="1:6" x14ac:dyDescent="0.3">
      <c r="B54" s="32" t="s">
        <v>46</v>
      </c>
      <c r="C54" s="23"/>
      <c r="D54" s="23"/>
      <c r="E54" s="23"/>
      <c r="F54" s="23"/>
    </row>
    <row r="55" spans="1:6" x14ac:dyDescent="0.3">
      <c r="A55" s="30"/>
      <c r="B55">
        <v>2222</v>
      </c>
      <c r="C55" s="8">
        <f>Tame!C43</f>
        <v>2603.5300000000002</v>
      </c>
      <c r="D55" s="24" t="s">
        <v>38</v>
      </c>
    </row>
    <row r="56" spans="1:6" x14ac:dyDescent="0.3">
      <c r="B56">
        <v>2223</v>
      </c>
      <c r="C56" s="8">
        <f>Tame!C44</f>
        <v>12937.68</v>
      </c>
      <c r="D56" s="25" t="s">
        <v>39</v>
      </c>
    </row>
    <row r="57" spans="1:6" x14ac:dyDescent="0.3">
      <c r="B57">
        <v>2229</v>
      </c>
      <c r="C57" s="26">
        <f>[1]Tame!C55</f>
        <v>0</v>
      </c>
      <c r="D57" s="162" t="s">
        <v>40</v>
      </c>
    </row>
    <row r="58" spans="1:6" x14ac:dyDescent="0.3">
      <c r="B58">
        <v>2239</v>
      </c>
      <c r="C58" s="26"/>
      <c r="D58" s="162" t="s">
        <v>44</v>
      </c>
    </row>
    <row r="59" spans="1:6" x14ac:dyDescent="0.3">
      <c r="B59">
        <v>2241</v>
      </c>
      <c r="C59" s="26">
        <f>Tame!C52</f>
        <v>13118.66</v>
      </c>
      <c r="D59" s="23" t="s">
        <v>190</v>
      </c>
    </row>
    <row r="60" spans="1:6" x14ac:dyDescent="0.3">
      <c r="B60">
        <v>2243</v>
      </c>
      <c r="C60" s="26">
        <f>Tame!C53</f>
        <v>7580.91</v>
      </c>
      <c r="D60" s="162" t="s">
        <v>45</v>
      </c>
      <c r="E60" s="162"/>
    </row>
    <row r="61" spans="1:6" x14ac:dyDescent="0.3">
      <c r="B61">
        <v>2244</v>
      </c>
      <c r="C61" s="26">
        <f>Tame!C54</f>
        <v>11736.56</v>
      </c>
      <c r="D61" s="162" t="s">
        <v>293</v>
      </c>
    </row>
    <row r="62" spans="1:6" x14ac:dyDescent="0.3">
      <c r="B62">
        <v>2249</v>
      </c>
      <c r="C62" s="26">
        <f>Tame!C56</f>
        <v>1566.74</v>
      </c>
      <c r="D62" s="162" t="s">
        <v>41</v>
      </c>
    </row>
    <row r="63" spans="1:6" x14ac:dyDescent="0.3">
      <c r="B63">
        <v>2321</v>
      </c>
      <c r="C63" s="26"/>
      <c r="D63" s="162" t="s">
        <v>42</v>
      </c>
    </row>
    <row r="64" spans="1:6" x14ac:dyDescent="0.3">
      <c r="B64">
        <v>2341</v>
      </c>
      <c r="C64" s="26"/>
      <c r="D64" s="162" t="s">
        <v>164</v>
      </c>
    </row>
    <row r="65" spans="1:7" x14ac:dyDescent="0.3">
      <c r="B65">
        <v>2350</v>
      </c>
      <c r="C65" s="26">
        <f>Tame!C70</f>
        <v>6169.92</v>
      </c>
      <c r="D65" s="162" t="s">
        <v>43</v>
      </c>
    </row>
    <row r="66" spans="1:7" x14ac:dyDescent="0.3">
      <c r="A66" s="30" t="s">
        <v>48</v>
      </c>
      <c r="B66" s="30"/>
      <c r="C66" s="31">
        <f>SUM(C55:C65)</f>
        <v>55713.999999999993</v>
      </c>
      <c r="D66" s="276"/>
      <c r="E66" s="276"/>
      <c r="F66" s="276"/>
      <c r="G66" s="276"/>
    </row>
    <row r="67" spans="1:7" x14ac:dyDescent="0.3">
      <c r="C67" s="28"/>
      <c r="D67" s="276"/>
      <c r="E67" s="276"/>
      <c r="F67" s="276"/>
      <c r="G67" s="276"/>
    </row>
    <row r="68" spans="1:7" x14ac:dyDescent="0.3">
      <c r="C68" s="64">
        <f>850*1.2409*12*0.7</f>
        <v>8860.025999999998</v>
      </c>
      <c r="D68" s="162" t="s">
        <v>295</v>
      </c>
      <c r="E68" s="49"/>
      <c r="F68" s="162"/>
      <c r="G68" s="162"/>
    </row>
    <row r="69" spans="1:7" x14ac:dyDescent="0.3">
      <c r="A69" s="30" t="s">
        <v>274</v>
      </c>
      <c r="B69" s="30"/>
      <c r="C69" s="31">
        <f>SUM(C68:C68)</f>
        <v>8860.025999999998</v>
      </c>
      <c r="D69" s="162"/>
      <c r="E69" s="162"/>
      <c r="F69" s="162"/>
      <c r="G69" s="162"/>
    </row>
    <row r="70" spans="1:7" x14ac:dyDescent="0.3">
      <c r="C70" s="28"/>
      <c r="D70" s="162"/>
      <c r="E70" s="162"/>
      <c r="F70" s="162"/>
      <c r="G70" s="162"/>
    </row>
    <row r="71" spans="1:7" x14ac:dyDescent="0.3">
      <c r="C71" s="46">
        <f>(2038+1435)*1.2409*12*0.5</f>
        <v>25857.874199999998</v>
      </c>
      <c r="D71" s="65" t="s">
        <v>49</v>
      </c>
      <c r="F71" s="165">
        <f>(9494)*1.2359*12</f>
        <v>140803.6152</v>
      </c>
      <c r="G71" t="s">
        <v>191</v>
      </c>
    </row>
    <row r="72" spans="1:7" x14ac:dyDescent="0.3">
      <c r="B72">
        <v>2211</v>
      </c>
      <c r="C72">
        <f>[1]Tame!C51</f>
        <v>1900.14</v>
      </c>
      <c r="D72" t="s">
        <v>292</v>
      </c>
    </row>
    <row r="73" spans="1:7" x14ac:dyDescent="0.3">
      <c r="B73">
        <v>2234</v>
      </c>
      <c r="C73">
        <f>Tame!C48</f>
        <v>323.55</v>
      </c>
      <c r="D73" s="162" t="s">
        <v>54</v>
      </c>
    </row>
    <row r="74" spans="1:7" x14ac:dyDescent="0.3">
      <c r="B74">
        <v>2236</v>
      </c>
      <c r="C74">
        <f>[1]Tame!C59</f>
        <v>0</v>
      </c>
      <c r="D74" s="162" t="s">
        <v>53</v>
      </c>
    </row>
    <row r="75" spans="1:7" x14ac:dyDescent="0.3">
      <c r="B75">
        <v>2264</v>
      </c>
      <c r="D75" s="162" t="s">
        <v>55</v>
      </c>
    </row>
    <row r="76" spans="1:7" x14ac:dyDescent="0.3">
      <c r="B76">
        <v>2311</v>
      </c>
      <c r="C76">
        <f>Tame!C63</f>
        <v>514.11</v>
      </c>
      <c r="D76" s="162" t="s">
        <v>56</v>
      </c>
    </row>
    <row r="77" spans="1:7" x14ac:dyDescent="0.3">
      <c r="B77">
        <v>2312</v>
      </c>
      <c r="C77">
        <f>Tame!C64</f>
        <v>3891.2</v>
      </c>
      <c r="D77" s="162" t="s">
        <v>57</v>
      </c>
    </row>
    <row r="78" spans="1:7" x14ac:dyDescent="0.3">
      <c r="B78">
        <v>2322</v>
      </c>
      <c r="C78">
        <f>Tame!C67</f>
        <v>396.19</v>
      </c>
      <c r="D78" s="162" t="s">
        <v>160</v>
      </c>
    </row>
    <row r="79" spans="1:7" x14ac:dyDescent="0.3">
      <c r="B79">
        <v>2390</v>
      </c>
      <c r="C79">
        <f>Tame!C71</f>
        <v>1398.41</v>
      </c>
    </row>
    <row r="80" spans="1:7" x14ac:dyDescent="0.3">
      <c r="A80" s="30" t="s">
        <v>275</v>
      </c>
      <c r="B80" s="30"/>
      <c r="C80" s="31">
        <f>SUM(C71:C79)</f>
        <v>34281.474200000004</v>
      </c>
    </row>
  </sheetData>
  <mergeCells count="20">
    <mergeCell ref="D66:G66"/>
    <mergeCell ref="D67:G67"/>
    <mergeCell ref="D37:R37"/>
    <mergeCell ref="D38:R38"/>
    <mergeCell ref="D39:R39"/>
    <mergeCell ref="C42:Q42"/>
    <mergeCell ref="D46:Q46"/>
    <mergeCell ref="D48:Q48"/>
    <mergeCell ref="D36:R36"/>
    <mergeCell ref="E3:E4"/>
    <mergeCell ref="D19:R19"/>
    <mergeCell ref="D20:R20"/>
    <mergeCell ref="D21:R21"/>
    <mergeCell ref="D22:R22"/>
    <mergeCell ref="D23:R23"/>
    <mergeCell ref="D24:R24"/>
    <mergeCell ref="D26:R26"/>
    <mergeCell ref="D33:R33"/>
    <mergeCell ref="D34:R34"/>
    <mergeCell ref="D35:R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11</vt:i4>
      </vt:variant>
      <vt:variant>
        <vt:lpstr>Diapazoni ar nosaukumiem</vt:lpstr>
      </vt:variant>
      <vt:variant>
        <vt:i4>7</vt:i4>
      </vt:variant>
    </vt:vector>
  </HeadingPairs>
  <TitlesOfParts>
    <vt:vector size="18" baseType="lpstr">
      <vt:lpstr>Apkopojums_SC_noma</vt:lpstr>
      <vt:lpstr>Cenu salīdiznājums</vt:lpstr>
      <vt:lpstr>Noslodze</vt:lpstr>
      <vt:lpstr>ASC_2018_LZ</vt:lpstr>
      <vt:lpstr>ASC_2018_DzZ</vt:lpstr>
      <vt:lpstr>ASC_2018_AerobZ</vt:lpstr>
      <vt:lpstr>Dabīgais futbola laukums Ca</vt:lpstr>
      <vt:lpstr>Rozu iela</vt:lpstr>
      <vt:lpstr>Ādažu futbola laukums</vt:lpstr>
      <vt:lpstr>ASC_2018_Galda_teniss</vt:lpstr>
      <vt:lpstr>Tame</vt:lpstr>
      <vt:lpstr>Apkopojums_SC_noma!Drukas_apgabals</vt:lpstr>
      <vt:lpstr>ASC_2018_AerobZ!Drukas_apgabals</vt:lpstr>
      <vt:lpstr>ASC_2018_DzZ!Drukas_apgabals</vt:lpstr>
      <vt:lpstr>ASC_2018_Galda_teniss!Drukas_apgabals</vt:lpstr>
      <vt:lpstr>ASC_2018_LZ!Drukas_apgabals</vt:lpstr>
      <vt:lpstr>Noslodze!Drukas_apgabals</vt:lpstr>
      <vt:lpstr>Tame!Drukas_apgabals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Sarmite Bake</dc:creator>
  <cp:lastModifiedBy>Arnis Rozītis</cp:lastModifiedBy>
  <cp:lastPrinted>2020-03-18T09:46:42Z</cp:lastPrinted>
  <dcterms:created xsi:type="dcterms:W3CDTF">2013-06-17T14:31:12Z</dcterms:created>
  <dcterms:modified xsi:type="dcterms:W3CDTF">2022-02-03T11:29:17Z</dcterms:modified>
</cp:coreProperties>
</file>