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Skolotajs\Desktop\2022_gads\Telpu_noma_2022\"/>
    </mc:Choice>
  </mc:AlternateContent>
  <xr:revisionPtr revIDLastSave="0" documentId="13_ncr:1_{42FCF504-082B-476E-BDF8-EF904F848379}" xr6:coauthVersionLast="36" xr6:coauthVersionMax="36" xr10:uidLastSave="{00000000-0000-0000-0000-000000000000}"/>
  <bookViews>
    <workbookView xWindow="0" yWindow="0" windowWidth="21576" windowHeight="8064" tabRatio="788" activeTab="3" xr2:uid="{00000000-000D-0000-FFFF-FFFF00000000}"/>
  </bookViews>
  <sheets>
    <sheet name="Logopēda kabinets" sheetId="22" r:id="rId1"/>
    <sheet name="Mūzikas zāle" sheetId="27" r:id="rId2"/>
    <sheet name="Sporta zāle" sheetId="28" r:id="rId3"/>
    <sheet name="Ligzda" sheetId="29" r:id="rId4"/>
    <sheet name="Tame_SPII_2022" sheetId="14" r:id="rId5"/>
    <sheet name="Komunalserviss" sheetId="15" r:id="rId6"/>
  </sheets>
  <externalReferences>
    <externalReference r:id="rId7"/>
    <externalReference r:id="rId8"/>
  </externalReferences>
  <definedNames>
    <definedName name="_xlnm.Print_Area" localSheetId="3">Ligzda!$A$4:$R$69</definedName>
    <definedName name="_xlnm.Print_Area" localSheetId="0">'Logopēda kabinets'!$A$4:$R$69</definedName>
    <definedName name="_xlnm.Print_Area" localSheetId="1">'Mūzikas zāle'!$A$4:$R$69</definedName>
    <definedName name="_xlnm.Print_Area" localSheetId="2">'Sporta zāle'!$A$4:$R$69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4" i="28" l="1"/>
  <c r="C77" i="28"/>
  <c r="C73" i="28"/>
  <c r="C72" i="28"/>
  <c r="C79" i="28"/>
  <c r="C78" i="28"/>
  <c r="K13" i="27" l="1"/>
  <c r="D105" i="29" l="1"/>
  <c r="C98" i="29"/>
  <c r="B37" i="29" s="1"/>
  <c r="C86" i="29"/>
  <c r="C83" i="29"/>
  <c r="C84" i="29" s="1"/>
  <c r="C79" i="29"/>
  <c r="C78" i="29"/>
  <c r="C73" i="29"/>
  <c r="B45" i="29"/>
  <c r="A11" i="29"/>
  <c r="D106" i="28"/>
  <c r="B45" i="28" s="1"/>
  <c r="C99" i="28"/>
  <c r="C87" i="28"/>
  <c r="B65" i="28" s="1"/>
  <c r="C84" i="28"/>
  <c r="C80" i="28"/>
  <c r="B37" i="28"/>
  <c r="A11" i="28"/>
  <c r="D105" i="27"/>
  <c r="C98" i="27"/>
  <c r="B37" i="27" s="1"/>
  <c r="C86" i="27"/>
  <c r="C83" i="27"/>
  <c r="C84" i="27" s="1"/>
  <c r="C79" i="27"/>
  <c r="C78" i="27"/>
  <c r="C73" i="27"/>
  <c r="B45" i="27"/>
  <c r="A11" i="27"/>
  <c r="C85" i="28" l="1"/>
  <c r="E84" i="28"/>
  <c r="C94" i="29"/>
  <c r="B63" i="29" s="1"/>
  <c r="C95" i="28"/>
  <c r="B63" i="28" s="1"/>
  <c r="C94" i="27"/>
  <c r="B63" i="27" s="1"/>
  <c r="D105" i="22" l="1"/>
  <c r="B45" i="22" s="1"/>
  <c r="C98" i="22" l="1"/>
  <c r="B37" i="22" s="1"/>
  <c r="C86" i="22"/>
  <c r="C83" i="22"/>
  <c r="C84" i="22" s="1"/>
  <c r="C79" i="22"/>
  <c r="C78" i="22"/>
  <c r="C73" i="22"/>
  <c r="A11" i="22"/>
  <c r="C94" i="22" l="1"/>
  <c r="B63" i="22"/>
  <c r="I70" i="15"/>
  <c r="H70" i="15"/>
  <c r="G70" i="15"/>
  <c r="K68" i="15"/>
  <c r="K66" i="15"/>
  <c r="K64" i="15"/>
  <c r="K62" i="15"/>
  <c r="K54" i="15"/>
  <c r="K52" i="15"/>
  <c r="K50" i="15"/>
  <c r="K48" i="15"/>
  <c r="K45" i="15"/>
  <c r="K43" i="15"/>
  <c r="K40" i="15"/>
  <c r="K38" i="15"/>
  <c r="K33" i="15"/>
  <c r="K26" i="15"/>
  <c r="K24" i="15"/>
  <c r="K22" i="15"/>
  <c r="K20" i="15"/>
  <c r="K18" i="15"/>
  <c r="K16" i="15"/>
  <c r="K14" i="15"/>
  <c r="L13" i="15"/>
  <c r="K12" i="15" s="1"/>
  <c r="L11" i="15"/>
  <c r="K10" i="15" s="1"/>
  <c r="L9" i="15"/>
  <c r="K8" i="15" s="1"/>
  <c r="L7" i="15"/>
  <c r="K6" i="15" s="1"/>
  <c r="L5" i="15"/>
  <c r="K4" i="15" s="1"/>
  <c r="L3" i="15"/>
  <c r="C72" i="29" l="1"/>
  <c r="C72" i="27"/>
  <c r="C72" i="22"/>
  <c r="C76" i="28"/>
  <c r="C76" i="29"/>
  <c r="C76" i="27"/>
  <c r="C76" i="22"/>
  <c r="C81" i="28"/>
  <c r="C80" i="29"/>
  <c r="C80" i="27"/>
  <c r="C80" i="22"/>
  <c r="C75" i="28"/>
  <c r="C75" i="29"/>
  <c r="C75" i="27"/>
  <c r="C75" i="22"/>
  <c r="L70" i="15"/>
  <c r="K2" i="15"/>
  <c r="K70" i="15" s="1"/>
  <c r="K74" i="15" l="1"/>
  <c r="K72" i="15"/>
  <c r="M141" i="14" l="1"/>
  <c r="L139" i="14" s="1"/>
  <c r="M119" i="14"/>
  <c r="M118" i="14"/>
  <c r="M117" i="14"/>
  <c r="I183" i="14"/>
  <c r="L182" i="14"/>
  <c r="H182" i="14"/>
  <c r="L180" i="14"/>
  <c r="L178" i="14"/>
  <c r="L176" i="14"/>
  <c r="L174" i="14"/>
  <c r="M171" i="14"/>
  <c r="L170" i="14" s="1"/>
  <c r="L168" i="14"/>
  <c r="M165" i="14"/>
  <c r="M162" i="14"/>
  <c r="L154" i="14" s="1"/>
  <c r="M157" i="14"/>
  <c r="L151" i="14"/>
  <c r="L142" i="14"/>
  <c r="H142" i="14"/>
  <c r="H139" i="14"/>
  <c r="M138" i="14"/>
  <c r="L134" i="14" s="1"/>
  <c r="L131" i="14"/>
  <c r="L128" i="14"/>
  <c r="M126" i="14"/>
  <c r="L120" i="14" s="1"/>
  <c r="M121" i="14"/>
  <c r="L106" i="14"/>
  <c r="L100" i="14"/>
  <c r="M99" i="14"/>
  <c r="L98" i="14" s="1"/>
  <c r="L95" i="14"/>
  <c r="L93" i="14"/>
  <c r="L90" i="14"/>
  <c r="L87" i="14"/>
  <c r="L84" i="14"/>
  <c r="L81" i="14"/>
  <c r="L78" i="14"/>
  <c r="M76" i="14"/>
  <c r="L73" i="14" s="1"/>
  <c r="L69" i="14"/>
  <c r="L67" i="14"/>
  <c r="M66" i="14"/>
  <c r="M65" i="14"/>
  <c r="L62" i="14"/>
  <c r="M61" i="14"/>
  <c r="L60" i="14" s="1"/>
  <c r="L58" i="14"/>
  <c r="L56" i="14"/>
  <c r="L54" i="14"/>
  <c r="M49" i="14"/>
  <c r="L48" i="14" s="1"/>
  <c r="M47" i="14"/>
  <c r="L46" i="14" s="1"/>
  <c r="L44" i="14"/>
  <c r="L41" i="14"/>
  <c r="L38" i="14"/>
  <c r="M36" i="14"/>
  <c r="L35" i="14"/>
  <c r="M33" i="14"/>
  <c r="L32" i="14" s="1"/>
  <c r="M30" i="14"/>
  <c r="L29" i="14" s="1"/>
  <c r="L27" i="14"/>
  <c r="L24" i="14"/>
  <c r="L21" i="14"/>
  <c r="L19" i="14"/>
  <c r="M18" i="14"/>
  <c r="L17" i="14"/>
  <c r="H17" i="14"/>
  <c r="L14" i="14"/>
  <c r="L12" i="14"/>
  <c r="L10" i="14"/>
  <c r="L8" i="14"/>
  <c r="M6" i="14"/>
  <c r="L5" i="14" s="1"/>
  <c r="H5" i="14"/>
  <c r="H32" i="14" s="1"/>
  <c r="M3" i="14"/>
  <c r="L2" i="14" s="1"/>
  <c r="A57" i="28" l="1"/>
  <c r="B13" i="28" s="1"/>
  <c r="B65" i="27"/>
  <c r="A57" i="27" s="1"/>
  <c r="B13" i="27" s="1"/>
  <c r="B65" i="29"/>
  <c r="A57" i="29" s="1"/>
  <c r="B13" i="29" s="1"/>
  <c r="B65" i="22"/>
  <c r="A57" i="22" s="1"/>
  <c r="B13" i="22" s="1"/>
  <c r="C74" i="29"/>
  <c r="C81" i="29" s="1"/>
  <c r="B26" i="29" s="1"/>
  <c r="A17" i="29" s="1"/>
  <c r="B6" i="29" s="1"/>
  <c r="I6" i="29" s="1"/>
  <c r="C74" i="27"/>
  <c r="C77" i="29"/>
  <c r="C77" i="27"/>
  <c r="C74" i="22"/>
  <c r="C77" i="22"/>
  <c r="L64" i="14"/>
  <c r="L116" i="14"/>
  <c r="C81" i="27" l="1"/>
  <c r="B26" i="27" s="1"/>
  <c r="A17" i="27" s="1"/>
  <c r="B6" i="27" s="1"/>
  <c r="I6" i="27" s="1"/>
  <c r="C82" i="28"/>
  <c r="K6" i="29"/>
  <c r="L6" i="29" s="1"/>
  <c r="M6" i="29" s="1"/>
  <c r="I7" i="29"/>
  <c r="K7" i="29" s="1"/>
  <c r="L7" i="29" s="1"/>
  <c r="M7" i="29" s="1"/>
  <c r="C81" i="22"/>
  <c r="B26" i="22" s="1"/>
  <c r="A17" i="22" s="1"/>
  <c r="B6" i="22" s="1"/>
  <c r="I6" i="22" s="1"/>
  <c r="B26" i="28" l="1"/>
  <c r="A17" i="28" s="1"/>
  <c r="B6" i="28" s="1"/>
  <c r="I6" i="28" s="1"/>
  <c r="I7" i="28" s="1"/>
  <c r="K7" i="28" s="1"/>
  <c r="L7" i="28" s="1"/>
  <c r="M7" i="28" s="1"/>
  <c r="I7" i="22"/>
  <c r="K7" i="22" s="1"/>
  <c r="L7" i="22" s="1"/>
  <c r="M7" i="22" s="1"/>
  <c r="K6" i="22"/>
  <c r="L6" i="22" s="1"/>
  <c r="M6" i="22" s="1"/>
  <c r="I7" i="27"/>
  <c r="K7" i="27" s="1"/>
  <c r="L7" i="27" s="1"/>
  <c r="M7" i="27" s="1"/>
  <c r="K6" i="27"/>
  <c r="L6" i="27" s="1"/>
  <c r="M6" i="27" s="1"/>
  <c r="K6" i="28" l="1"/>
  <c r="L6" i="28" s="1"/>
  <c r="M6"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Antra Krasta</author>
    <author>Skolotajs</author>
  </authors>
  <commentList>
    <comment ref="M18" authorId="0" shapeId="0" xr:uid="{00000000-0006-0000-0400-000001000000}">
      <text>
        <r>
          <rPr>
            <b/>
            <sz val="9"/>
            <color indexed="81"/>
            <rFont val="Tahoma"/>
            <family val="2"/>
            <charset val="186"/>
          </rPr>
          <t>Antra Krasta:</t>
        </r>
        <r>
          <rPr>
            <sz val="9"/>
            <color indexed="81"/>
            <rFont val="Tahoma"/>
            <family val="2"/>
            <charset val="186"/>
          </rPr>
          <t xml:space="preserve">
</t>
        </r>
        <r>
          <rPr>
            <sz val="8"/>
            <color indexed="81"/>
            <rFont val="Tahoma"/>
            <family val="2"/>
            <charset val="186"/>
          </rPr>
          <t>Pārrunājot 2022. gada budžeta plānus ar Kadagas PII vadītāju I. Kuzņecovu un ņemot vērā KPII un īpaši SPII atrašanās vietu ārpus ciematu centriem, ar neērtu, dārgu un retu sabiedriskā transporta satiksmi, darbinieki uz iestādēm no Carnikavas, Ādažiem, Garkalnes, Podniekiem, Juglas un Saulkrastiem dodas pārsvarā ar personīgo transportu, tāpēc arī es atjaunoju pirmreizēji plānoto izklājlapas Algas_2022 9.aili (Piemaksas%), kas summāri veido 10. aili ar kopsummu EUR 45415, tāpēc lūgums darbinieku piesaistei atļaut to atstāt 100% vai vismaz 50 - 60% apmērā un ar aprēķiniem prezentēt šo svarīgo nepieciešamību domes deputātiem, pretējā gadījumā starp Ādažu un Carnikavas centra pirmsskolām, kurās ir salīdzinoši zemas darbinieku transporta izmaksas, jo darbinieki dzīvo pašos Ādažu un Carnikavas ciemos un uz darbu pārsvarā dodas kājām, mums KPII un SPII nepietiks līdzekļi ne aizvietošanai, darbiniekam esot A lapas darba nespējā, ne arī darbinieku motivēšanai, kā tas paredzēts plānots Attīstības programmas (2021-2027) rīcības plānā darbinieku piesaistei.
   Ja SPII no Algas_2022  12. ailes N70 šūnas kopsummas EUR 45888 (Piemaksas, aizvietošana, rezerve EUR (EKK 1119; 1147; 1148) nosedzot transportu/ēdināšanu EUR 45415, tad  uz gadu aizvietošanai un darbinieku notivēšanai paliek tikai EUR 473, tātad EUR 39,41 mēnesī. Ja skatāmies vēl  iespējamo provizorisko atlikumu no atvaļinājumu  M70 šūnas EUR 22944,  tad tas vidēji veidos EUR 7800 gadā vai EUR 650 mēnesī vai EUR 13 mēnesī uz vienu darbinieku, jo 13% darbiniekiem pienākas 50% , bet 87% darbiniekiem 30% atvaļinājuma kompensācija. 
Ļoti svarīgs posms iestādes darba ķēdē ir skolotāja palīgi, bet ņemot vērā novada skolotāju palīgu zemās algas EUR 650 (brutto) mēnesī, tad  transporta un ēdināšanas piemaksas, kas procentuāli veido 12-30% pie pamatalgas,  tad ir tas, kas vēl ļauj kaut nedaudz viņus motivēt un  tā noturēt iestādē labus darbiniekus, jo darbs ar bērniem ir viņu sirdslieta. Novada darba tirgū algas aug un aug arī darbinieku dzīves dārdzība, kas liek mums vadībai cīnīties par esošo kadru finansiālu piesaisti, jo emocionālā labizjūta kolektīva vien nevar darbinieku noturēt, taču darbinieku maiņa traucē kvalitatīvu iestādes darbu, bremzē tās laikmetīgu attīstību, rada trauksmi bērnos un līdz ar to radām neapmierinātus vecākus, kas noteikti nav iestādes pamatmērķis. 
Pašlaik SPII Covid -19 vakcinācija bija tas, kas nedaudz izjauca mūsu mieru, bet tā darbinieki pašlaik jūtas gan emocionāli, gan finansiāli atbalstīti, piederīgi pirmsskolai un ar savu darbu nodrošina SPII laikmetīgu attīstību.</t>
        </r>
        <r>
          <rPr>
            <sz val="9"/>
            <color indexed="81"/>
            <rFont val="Tahoma"/>
            <family val="2"/>
            <charset val="186"/>
          </rPr>
          <t xml:space="preserve">
</t>
        </r>
      </text>
    </comment>
    <comment ref="H73" authorId="1" shapeId="0" xr:uid="{00000000-0006-0000-0400-000002000000}">
      <text>
        <r>
          <rPr>
            <b/>
            <sz val="9"/>
            <color indexed="81"/>
            <rFont val="Tahoma"/>
            <family val="2"/>
            <charset val="186"/>
          </rPr>
          <t>Skolotajs:</t>
        </r>
        <r>
          <rPr>
            <sz val="9"/>
            <color indexed="81"/>
            <rFont val="Tahoma"/>
            <family val="2"/>
            <charset val="186"/>
          </rPr>
          <t xml:space="preserve">
Sakarā ar PII atvērāšanu, summu sastāda, karoga masts, materiāli sienas gleznojumam, uzraksts pie ārdurvīm un telpu interjera plans; eliis.lv     veļas mazgāšana 2700; edurio.lv - aptauju platforma 450 eiro</t>
        </r>
      </text>
    </comment>
  </commentList>
</comments>
</file>

<file path=xl/sharedStrings.xml><?xml version="1.0" encoding="utf-8"?>
<sst xmlns="http://schemas.openxmlformats.org/spreadsheetml/2006/main" count="1439" uniqueCount="363">
  <si>
    <t>Mēnesī</t>
  </si>
  <si>
    <t>NM =</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</si>
  <si>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</si>
  <si>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</si>
  <si>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</si>
  <si>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</si>
  <si>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</si>
  <si>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</si>
  <si>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</si>
  <si>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</si>
  <si>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</si>
  <si>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</si>
  <si>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Tizm</t>
  </si>
  <si>
    <t>tā nekustamā īpašuma tiešās izmaksas gadā, kurā atrodas nomas objekts. Aprēķina saskaņā</t>
  </si>
  <si>
    <t>57. Tā nekustamā īpašuma tiešās izmaksas gadā, kurā atrodas iznomājamais objekts, aprēķina, izmantojot šādu formulu:</t>
  </si>
  <si>
    <t>Tizm – attiecīgā nekustamā īpašuma tiešās izmaksas gadā;</t>
  </si>
  <si>
    <t>A</t>
  </si>
  <si>
    <t>P</t>
  </si>
  <si>
    <t>to pamatlīdzekļu plānotās uzturēšanas izmaksas, tai skaitā nolietojuma summa gadā, kurus izmanto vai plānots izmantot</t>
  </si>
  <si>
    <t>nekustamā īpašuma un tam piegulošās teritorijas sanitārajā uzkopšanā;</t>
  </si>
  <si>
    <t>N</t>
  </si>
  <si>
    <t>no attiecīgā nekustamā īpašuma ēkas atjaunošanas vērtības gadā;</t>
  </si>
  <si>
    <t>Zn</t>
  </si>
  <si>
    <t>zemes vienības nomas maksa gadā, ja iznomājamais objekts atrodas uz citam īpašniekam piederošas zemes vienības;</t>
  </si>
  <si>
    <t>C</t>
  </si>
  <si>
    <t>pēc pušu vienošanās papildus var iekļaut citas izmaksas.</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</si>
  <si>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</si>
  <si>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</si>
  <si>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</si>
  <si>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</si>
  <si>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</si>
  <si>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</si>
  <si>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</si>
  <si>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</si>
  <si>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</si>
  <si>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EKK</t>
  </si>
  <si>
    <t>L&amp;T</t>
  </si>
  <si>
    <t xml:space="preserve">Ēku, būvju un telpu remonts. </t>
  </si>
  <si>
    <t>Iekārtu, inventāra uzturēšana un remonts</t>
  </si>
  <si>
    <t>Ēku, būvju un telpu uzturēšana, EPS</t>
  </si>
  <si>
    <t>Zāles, ķimikālijas, laboratorijas preces</t>
  </si>
  <si>
    <t>Kārtējā remonta un iestāžu un uzturēšanas materiāl</t>
  </si>
  <si>
    <t>Aiziet uz 21.rindu</t>
  </si>
  <si>
    <t>Apkopējas</t>
  </si>
  <si>
    <t>Aiziet uz 23.rindu</t>
  </si>
  <si>
    <t>Internets</t>
  </si>
  <si>
    <t>Telefons</t>
  </si>
  <si>
    <t>Darbinieku veselības pārbaude</t>
  </si>
  <si>
    <t>Biroja preces</t>
  </si>
  <si>
    <t>Inventārs</t>
  </si>
  <si>
    <t>Degviela</t>
  </si>
  <si>
    <t>Iestādes vadītāja</t>
  </si>
  <si>
    <t>Amortizācija/gadā</t>
  </si>
  <si>
    <t>Tizm = A + P + N + Zn + C + K/IznP, kur</t>
  </si>
  <si>
    <t xml:space="preserve">attiecīgā nekustamā īpašuma apsaimniekošanas pamata pakalpojumu (iekārtu, tai skaitā liftu, un inženiertīklu tehniskā apkope un remonts, </t>
  </si>
  <si>
    <t xml:space="preserve">ugunsdrošības sistēmu un inventāra uzturēšana un remonts, tehniskās apsardzes signalizācijas un videonovērošanas sistēmu apkalpošana un </t>
  </si>
  <si>
    <t xml:space="preserve">remonts, būves konstruktīvo elementu apsekošana un remonts, teritorijas uzkopšana) un apsaimniekošanas papildu pakalpojumu (fiziskā </t>
  </si>
  <si>
    <t xml:space="preserve">apsardze, telpu uzkopšana, piekļuves kontroles sistēmu apkalpošana, automātiski paceļamo barjeru un vārtu apkalpošana un remonts, iekštelpu </t>
  </si>
  <si>
    <t xml:space="preserve">kosmētiskais remonts, komunālo pakalpojumu līgumu administrēšana un citi pakalpojumi) plānotās izmaksas, plānotās materiālu un ātri </t>
  </si>
  <si>
    <t xml:space="preserve">nolietojamā inventāra izmaksas gadā, kas rodas nekustamā īpašuma iznomātājam attiecīgā nekustamā īpašuma apsaimniekošanā, kā arī citas </t>
  </si>
  <si>
    <t xml:space="preserve">ar tieši iesaistītā personāla plānoto atlīdzību (ņemot vērā iesaistīto darbinieku skaitu un viņu darba laiku iznomājamā objektā gadā) saistītās </t>
  </si>
  <si>
    <t xml:space="preserve">izmaksas. Apsaimniekošanas pamata pakalpojumus nodrošina vai organizē iznomātājs. Pašvaldības var noteikt, ka apsaimniekošanas pamata </t>
  </si>
  <si>
    <t>pakalpojumus nodrošina vai organizē nomnieks. Nomniekam, kas ir operatīvās darbības subjekts, apsaimniekošanas pamata pakalpojumus ir</t>
  </si>
  <si>
    <t xml:space="preserve">tiesības nodrošināt un organizēt pašam. Apsaimniekošanas papildu pakalpojumus nomniekam ir tiesības nodrošināt un organizēt pašam. </t>
  </si>
  <si>
    <t>Ja attiecīgos apsaimniekošanas pakalpojumus nodrošina un organizē pats nomnieks, konkrēto pakalpojumu izmaksas netiek iekļautas;</t>
  </si>
  <si>
    <t xml:space="preserve">izdevumi plānotajiem remontdarbiem un būvdarbiem, kas nepieciešami nekustamā īpašuma uzturēšanai un nav iekļauti A komponentē. </t>
  </si>
  <si>
    <t xml:space="preserve">Minētos izdevumus var noteikt, sastādot nepieciešamo uzturēšanas izmaksu plānu ēkas dzīves ciklā, ņemot vērā ēkas un neatdalāmo tehnisko </t>
  </si>
  <si>
    <t xml:space="preserve">iekārtu faktisko tehnisko stāvokli vai arī atbilstoši iznomātāja noteiktajai izdevumu aprēķināšanas kārtībai. Tie nedrīkst pārsniegt 2,5 procentus </t>
  </si>
  <si>
    <t>K</t>
  </si>
  <si>
    <t>aizņemtā kapitāla vai pašu ieguldīto līdzekļu izmaksas nekustamā īpašuma attīstības projekta īstenošanai (aizņemtā kapitāla vai pašu ieguldīto</t>
  </si>
  <si>
    <t xml:space="preserve"> līdzekļu atmaksa un aizņemtā kapitāla izmaksas (bankas komisija par aizdevumu, resursu rezervācijas izmaksas, bankas aizdevuma procentu </t>
  </si>
  <si>
    <t xml:space="preserve">maksājumi, procentu likmju izmaiņu riska ierobežošanas izmaksas un citas ar aizdevuma atmaksu saistītas izmaksas), tiešās administrācijas </t>
  </si>
  <si>
    <t xml:space="preserve">izmaksas, kas radušās būvniecības, pirmsprojekta izpētes un projektēšanas laikā, ņemot vērā iznomātāja iesaistīto darbinieku skaitu un viņu </t>
  </si>
  <si>
    <t xml:space="preserve">darba laiku attiecīgā nekustamā īpašuma būvniecības, pirmsprojekta izpētes un projektēšanas procesā). Komponenti nepiemēro, ja ieguldījumi </t>
  </si>
  <si>
    <t xml:space="preserve">nomas objektā, ko iznomā publiskai personai vai tās iestādei, kapitālsabiedrībai vai privātpersonai publiskas funkcijas vai deleģēta valsts </t>
  </si>
  <si>
    <t xml:space="preserve">pārvaldes uzdevuma veikšanai, tiek finansēti no publiskas personas finanšu līdzekļiem, Eiropas Savienības struktūrfondu vai Kohēzijas fonda </t>
  </si>
  <si>
    <t>līdzekļiem vai citiem ārvalsts finanšu instrumentiem;</t>
  </si>
  <si>
    <t>IznP</t>
  </si>
  <si>
    <t xml:space="preserve">aizņemtā kapitāla (kredīta saistību) atmaksas ilgums, ja puses nav vienojušās par citu atmaksas ilgumu, vai pašu ieguldīto līdzekļu atmaksas </t>
  </si>
  <si>
    <t>ilgums, kas noteikts, ņemot vērā ēkas lietderīgās lietošanas laiku.</t>
  </si>
  <si>
    <t>FN Serviss, SIA Ugunsdrošības audits; deratizācija utt.</t>
  </si>
  <si>
    <t xml:space="preserve"> </t>
  </si>
  <si>
    <t>Funkcija</t>
  </si>
  <si>
    <t>Funkcija_DL</t>
  </si>
  <si>
    <t>Nodaļas kods</t>
  </si>
  <si>
    <t>Nodaļas nosaukums</t>
  </si>
  <si>
    <t>Nosaukums</t>
  </si>
  <si>
    <t>2021.gada plāns EUR</t>
  </si>
  <si>
    <t>2021.gada plāns/ detaļas</t>
  </si>
  <si>
    <t>Faktiskā izpilde uz 15.09.2021.</t>
  </si>
  <si>
    <t>V</t>
  </si>
  <si>
    <t>2022.gada plāns EUR</t>
  </si>
  <si>
    <t>2022.gada plāns/ detaļas</t>
  </si>
  <si>
    <t>Atalgojums</t>
  </si>
  <si>
    <t>BT_algas</t>
  </si>
  <si>
    <t>PII Piejūra Pasaciņa (no 01.01.2020.)</t>
  </si>
  <si>
    <t xml:space="preserve">Domes darbinieku darba samaksa </t>
  </si>
  <si>
    <t>2022. atalgojums par visu gadu</t>
  </si>
  <si>
    <t>Mērķdotācija</t>
  </si>
  <si>
    <t>M</t>
  </si>
  <si>
    <t>Darba samaksa - mērķdotācijas</t>
  </si>
  <si>
    <t xml:space="preserve">Piemaksa par nakts darbu  </t>
  </si>
  <si>
    <t>Samaksa par virsstundu darbu un darbu svētku dienās</t>
  </si>
  <si>
    <t>MD: Kvalitātes piemaksa</t>
  </si>
  <si>
    <t xml:space="preserve">Piemaksa par papildu darbu (bilances piemaksas) </t>
  </si>
  <si>
    <t>C16.1.1.3. Nepieciešamā personāla nodrošināšana pašvaldības iestādēs</t>
  </si>
  <si>
    <t>Naudas balvas</t>
  </si>
  <si>
    <t>Citas normatīvajos aktos noteiktās piemaksas, kas nav iepriekš klasificētas</t>
  </si>
  <si>
    <t>Bāze</t>
  </si>
  <si>
    <t>BT</t>
  </si>
  <si>
    <t xml:space="preserve">    Atalgojums fiziskajām personām uz tiesiskās attiecības regulējošu dokumentu pamata (atalgojums par  autoratlīdzību un uzņēmuma līgumu iestādes darbiniekiem vai citām fiziskajām personām)</t>
  </si>
  <si>
    <t>Atalgojums par  autoratlīdzību un uzņēmuma līgumu iestādes darbiniekiem vai citām fiziskajām personām, kuras nodrošina iestādes darbinieku profesionālo pilnveidi konkurētspējīga mācību procesa nodrošinājumam (semināri, apmācības) EUR 1000</t>
  </si>
  <si>
    <t>Darba devēja soc.nod.-darbinieki</t>
  </si>
  <si>
    <t>Darba devēja soc.nod.-mērķdotācijas</t>
  </si>
  <si>
    <t>Darba dev.soc.rakstura pabalsti</t>
  </si>
  <si>
    <t>Korekcijas</t>
  </si>
  <si>
    <t>Darba devēja mācību maksas kompensācijas</t>
  </si>
  <si>
    <t>2022. gadā 9 studējošo pedagogu 30% mācību maksas kompensācija gadā EUR480x9=EUR 4320.00</t>
  </si>
  <si>
    <t xml:space="preserve">Diskutējams jautājums, jo šāda 30% kompensācija no mācību maksas bija noteikta Carnikavas pagasta jaunajiem studējošajiem pedagogiem, kas ir labs instruments pedagogu piesaistei. </t>
  </si>
  <si>
    <t>Darba devēja soc.pab.bez nodokļa</t>
  </si>
  <si>
    <t xml:space="preserve">Dienas nauda </t>
  </si>
  <si>
    <t>Iniciatīvas</t>
  </si>
  <si>
    <t xml:space="preserve">Pārējie komandējumu izdevumi </t>
  </si>
  <si>
    <t>C8.1.1.1. Projekta “Ekoskola” ieviešana</t>
  </si>
  <si>
    <t>Plānota pieredzes apmaiņas/ kolektīva saliedēšanas ekskursija (vasaras periodā uz Liepājas PII, kas īsteno ECO skolas programmu) izmaksas EUR 20 uz darbinieku: EUR 20x49=EUR 980.00</t>
  </si>
  <si>
    <t>ID: Apmācību līdzekļu ietvaros, ne kā ekskursija visiem!</t>
  </si>
  <si>
    <t>BN</t>
  </si>
  <si>
    <t>Izdevumi par sakaru pakalpojumiem</t>
  </si>
  <si>
    <t xml:space="preserve">SIA „Tet”  optiskā internata nodrošinājuma izmaksas Siguļi PII "Piejūra" -205,70eur/mēn.; </t>
  </si>
  <si>
    <t>Pasta izdevumi Eur 25.00</t>
  </si>
  <si>
    <t>C8.1.3.1. Vienotas izglītības sistēmas pārvaldības sistēmas izveide</t>
  </si>
  <si>
    <t xml:space="preserve">SIA "LMT" mobilo sakaru 11 grupu un 3 administrācijas darba mobilajām ierīcēm, kas paredzētas darbinieku un izglītojamo vecāku saziņai, lai netiktu izmantotas darbinieku personigās mobilās ierīces darba pienākumu veikšanai un darbinieku personīgo kontaktu neizpaušanai. Izmaksas uz 1 ierīci ir EUR 9.94 mēnesī. 14xEUR 9.94 x12mēn=EUR1670  </t>
  </si>
  <si>
    <t xml:space="preserve"> SIA "Edukas Latvia" pakalpojuma Līgums Nr.173       
JUR 2021-08/631, ELIIS sistēmas izmantošana 11 grupās mācību procesa plānošanai, pedagogu sadarbībai un atgriezeniskās saites vecākiem par sasniedzamajiem mācību rezultātiem nodošanai. Izmaksas mēnesī ir  EUR 92.92x12mēn=EUR 1115.04 </t>
  </si>
  <si>
    <t>28.10.2021. SIA "Edurio" Līgums Nr.L202110-06,  Klienta līgums Nr.JUR 2021-10/846 pirmsskolas darbības izvērtēšanai (vecāki, darbinieki) abonēšana kalendārā gada ietvaros EUR 263,78 (210 izglītojamie)</t>
  </si>
  <si>
    <t>Izdevumi par ūdeni un kanalizāciju</t>
  </si>
  <si>
    <t>PA "Carnikavas komunālserviss"  ~ EUR 3.301 m3. 190m3xEUR 3.40x12 mēn.=EUR 7524.00 (aprēķinus veica PA "Carnikavas komunālserviss")</t>
  </si>
  <si>
    <t>Izdevumi par elektroenerģiju</t>
  </si>
  <si>
    <t>VAS „Latvenergo” cena plānota 120EUR/MWh, vidēji 10385kW mēn., OIK, sadalīšana 3f, PVN. Gadā 124577 kW, EUR 28900 (aprēķinus veica PA "Carnikavas komunālserviss" enerģētiķis)</t>
  </si>
  <si>
    <t>Izdevumi par atkritumu savākšanu, izvešanu no apdzīvotām vietām un teritorijām ārpus apdzīvotām vietām un atkritumu utilizāciju</t>
  </si>
  <si>
    <t xml:space="preserve"> 03.12.2018. SIA "Clean R" līgums Nr.CAR01827 par sadzīves atkritumu izvešanu  EUR 50x12 mēn=EUR 600.00</t>
  </si>
  <si>
    <t>Administratīvie izdevumi un sabiedriskās attiecības, kursu un semināru organizēšana</t>
  </si>
  <si>
    <t>Sadarbībā ar Latvijas valsts mežiem pieredzes apmaiņas seminārs 20  pirmsskolas skolotājām ECO skolas programmas īstenošanas ietvaros . EUR 20.00x20=EUR 400.00</t>
  </si>
  <si>
    <t>ID: Nav atbalstīts</t>
  </si>
  <si>
    <t>Transporta pakalpojumi</t>
  </si>
  <si>
    <t>Iestādes pamatdarbības nodrošināšanai - Patapināto transportlīdzekļu amortizācijas kompensācija EUR 65 Lx 0.035 amartizācijas koificients=22.75x12 mēn.= EUR 250.25</t>
  </si>
  <si>
    <t>C8.1.1.1. Projekta “Ekoskola” ieviešana; C16.1.1.6. Pašvaldības iestāžu, struktūrvienību un uzņēmumu darbinieku kvalifikācijas paaugstināšana</t>
  </si>
  <si>
    <t>Darba brauciens/ekskursija 49 pirmsskolas darbiniekiem uz Liepājas PII, kurās īsteno ECO skolas programmu. EUR 460.00</t>
  </si>
  <si>
    <t>C12.1.1.5. Ekskursiju un saturīga brīvā laika (ārpus nodarbībām) pavadīšanas iespēju nodrošināšana</t>
  </si>
  <si>
    <t>5-6 gadīgo izglītojamo mācību ekskursija uz Rīgas ZOO, Carnikavas novadpētniecības centru</t>
  </si>
  <si>
    <t>ID: Samazzināts</t>
  </si>
  <si>
    <t>Normatīvajos aktos noteiktos darba devēja izdevumus veselības nodrošināšanai</t>
  </si>
  <si>
    <t xml:space="preserve">C16.1.1.5. Konkurētspējīgas motivēšanas sistēmas pilnveidošana </t>
  </si>
  <si>
    <t>Veselības apdrošināšanas polises (t.sk. obligātās sanitārās grāmatiņas skolotājiem un tehniskiem darbiniekiem, rentgena caurskate, OVP) 12 mēnešiem 49 darbiniekiem ( 46.9 slodzes) polises summa  EUR 130-150 =EUR 6580 (2022. gdā jāorganizē iepirkums). Vidēji EUR 140.00x46.9=EUR 6566.00</t>
  </si>
  <si>
    <t>Visām izglītības iestādēm kopā diskutējams jautājums par vienotu iepirkumu un pieļaujamo polises vērtību. 2021.g. darbiniekami bija plānots: Carnikavā  EUR 114,  ĀVS EUR 150, Mežavēji un Strautiņš ?</t>
  </si>
  <si>
    <t>Izdevumi par saņemtajiem apmācību pakalpojumiem</t>
  </si>
  <si>
    <t>C16.1.1.6. Pašvaldības iestāžu, struktūrvienību un uzņēmumu darbinieku kvalifikācijas paaugstināšana</t>
  </si>
  <si>
    <t> Bērnu tiesību aizsardzības kursi izglītības iestāžu 8 pedagogiem un 7 tehniskajiem darbiniekiem (plānotais organizators LPMC) EUR 15x23=EUR 345.00</t>
  </si>
  <si>
    <t>Pirmās palīdzības kursi izglītības iestāžu 8 pedagogiem un 7 tehniskajiem darbiniekiem (plānotais organizators LPMC) EUR 15x40=EUR 600.00</t>
  </si>
  <si>
    <t>16 pedagogu un skolotāju palīgu profesionālās pilnveide seminārs Liepājas PII par Ekoskolas programmas ieviešanu pirmsskolā. Izmaksas EUR 50 uz darbinieku: EUR 16x50=EUR 950.00</t>
  </si>
  <si>
    <t>Pārējie ar darb.nodrošin.saist.pak(veļas mazg.,der</t>
  </si>
  <si>
    <t>Veļas mazgāšanas pakalpojums (gultas veļa, segas, spilveni)-  28.07.2018. Līgums NR. 2/07-2018 ar SIA „Citāda kompānija” līdz 31.05.2022. Cena par kg vai vienību. Vidēji  no 01.09.2021. 11 grupām  EUR 280 mēnesī x12=EUR 3360.00 gadā</t>
  </si>
  <si>
    <t>E-žurnālu komplekts 12 mēn.:Pirmsskolā, Vecākiem, datu bāzes "Metodiskie materiāli pirmsskolām" un "Aktuālās ziņas izglītībā e-pastā"</t>
  </si>
  <si>
    <t>Izglītojošā bērnu žurnāla "Spicīte" mācību procesa dažādošanai abonēšana EUR 4.75x12 mēn.=EUR 57.00</t>
  </si>
  <si>
    <t>Pārējie neuzskaitītie pakalpojumu veidi, regul.</t>
  </si>
  <si>
    <t>C16.1.2.1 Digitalizācijas rīku ieviešana darba organizācijai un pakalpojumu nodrošināšanai</t>
  </si>
  <si>
    <t>SIA "Ortega" kopētāja/printera Xerox Workcentre 7830i kārtridžu maiņa, apkalpošana, maksa par kopijām atbilstoši kopiju skaitam mēnesī: MB-EUR 0.015, KR-EUR 0.06. Iekārtu izmanto visi izglītības iestādes darbinieki administratīvā un mācību procesa nodrošinājumam. Vidējās izmaksas EUR 105.00 mēnesī. EUR 105.00x12 mēn.=EUR 1260.00</t>
  </si>
  <si>
    <t>Ortega - toneru nomaiņa HP LaserJet Pro MFP M130a vadītājas un vadītājas vietnieces kabinetu printeriem EUR 70.00x4=EUR 280.00</t>
  </si>
  <si>
    <t>Investīcijas</t>
  </si>
  <si>
    <t>BNk_I</t>
  </si>
  <si>
    <t>Ēku, būvju un telpu remonts</t>
  </si>
  <si>
    <t xml:space="preserve">Avārijas remontu rezerve </t>
  </si>
  <si>
    <t>Iekārtas, inventāra un aparatūras remonts, tehniskā apkalpošana</t>
  </si>
  <si>
    <t>Printeru un laminatoru remonts EUR 150</t>
  </si>
  <si>
    <t>Ēku, būvju un telpu uzturēšana</t>
  </si>
  <si>
    <t>Ēku, būvju u.c. mantas apdrošināšana</t>
  </si>
  <si>
    <t>25.08.2021. ERGO Insurance SE Latvijas ēku apdrošināšanas Līgums Nr. 380 123673, spēkā 26.08.2022. Maksājums ir daļa no Carnikavas pagasta ēku kopējās apdrošināšanas polises vērtības) EUR 250</t>
  </si>
  <si>
    <t>Inženiertīklu remonts, uzturēšana, attīr.analīzes</t>
  </si>
  <si>
    <t>Iekārtu un inventāra īre un noma</t>
  </si>
  <si>
    <t>SIA Ortega kopētāja/printera Xerox Workcentre 7830i noma mēnesī EUR 30,25x12=EUR 363.00</t>
  </si>
  <si>
    <t>Biroja preces, metodiskie materiāli</t>
  </si>
  <si>
    <t>2314 Izdevumi precēm iestādes administratīvās darības nodrošināšanai EUR 300</t>
  </si>
  <si>
    <t>Kancelejas preces administrācijai: EUR400 (kanceleja)+EUR 100 (vadītāja) +EUR 200 (vadītājas vietn)=EUR 700.00</t>
  </si>
  <si>
    <t>C16.1.1.2. Pašvaldības iestāžu, struktūrvienību un uzņēmumu materiāltehniskās bāzes paplašināšana</t>
  </si>
  <si>
    <t>Biroja galda galda lampas 7 gabxEUR 20.00=EUR 140.00</t>
  </si>
  <si>
    <t xml:space="preserve">Papīrs - e-iepirkums, 8 pakas gadā pa 5 iepak. ~ EUR 3.00x5x8=120.00 EUR </t>
  </si>
  <si>
    <t>EUR 75 rezerve</t>
  </si>
  <si>
    <t xml:space="preserve">Inventārs </t>
  </si>
  <si>
    <t>Mācību līdzekļu un materiālu organizatori (plastmasas kastes,dekoratīvie kašpo, vāzes, paplātes,u.c. 11. grupām EUR 100x11=EUR 1100.00</t>
  </si>
  <si>
    <t>Metodisko materiālu un līdzekļu organizatori abalsta komandas, mūzikas un sporta jomu pedagogiem (mapes, grozi, kastes) EUR 80x7=EUR 560.00</t>
  </si>
  <si>
    <t>Mūzikas instrumenti mūzikas kabinetam (t.sk. Kokle, metalofons, zvaniņi, u.c.) EUR 400</t>
  </si>
  <si>
    <t>C12.1.2.1. Veselīga dzīvesveida veicināšana</t>
  </si>
  <si>
    <t>Inventārs āra sporta laukumam (t.sk. Futbola un florbola vārti) un āra aktivitātēm (lāpstiņas, grābeklīši, sietiņi, piltuves, karotītes, kausiņi, spainīši, lejkannas, caurduris, siets, pinumi, režģoti paliktņi, caurumoti silueti un formas u. c.) EUR 360.00</t>
  </si>
  <si>
    <t>C8.1.2.3. Iekļaujošas pirmsskolas izglītības pieejamības nodrošināšana</t>
  </si>
  <si>
    <t>Psiholoģiskās izpētes materiāls N. Resgaile "Psiholoģiskās izpētes komplekts pirmsskolai" Atbalsta komandas darbam izglītojamo izpētei un atbalstam EUR 240.00</t>
  </si>
  <si>
    <t>Didaktiskas un  galda spēles 11 gr.xEUR 220=EUR 2400+EUR 150 speciālajam pedagogam +180 logopēdam)=EUR=2750.00</t>
  </si>
  <si>
    <t xml:space="preserve"> C16.1.1.2. Pašvaldības iestāžu, struktūrvienību un uzņēmumu materiāltehniskās bāzes paplašināšana</t>
  </si>
  <si>
    <t>3 gab. velosipēdu statīvi, 5 velosipēdiem (2000mm), EUR 108.00x3= EUR 324.00 (cenu aptauja AJ Produkti)</t>
  </si>
  <si>
    <t xml:space="preserve">Sienas linolejs, Forbo, Bulletin Board,122cm plats, 4m2, gaiteņa un grupu ziņojuma dēļiem  EUR 212.30 (tāme SIA "Anitra") </t>
  </si>
  <si>
    <t>Mitruma savācējs pagraba telpām (cenu aptauja SIA Depo)</t>
  </si>
  <si>
    <t>Ic</t>
  </si>
  <si>
    <t>C12.1.2.4. Izglītojošo, kultūras un sporta pasākumu organizēšana ģimenēm (bērniem, jauniešiem, vecākiem un senioriem)</t>
  </si>
  <si>
    <t>Pirmsskolas tradīcijas "Cauri gadskārtām" tālākai īstenošanai -Tautiskās vilnas zeķes 28 pāri EUR14.00x28=400.00 EUR (cenu aptauja SIA Arnita)</t>
  </si>
  <si>
    <t>Pirmsskolas tradīcijas "Cauri gadskārtām" tālākai īstenošanai - Pastalas 28 pāri, EUR 16x28=450.00 EUR (cenu aptauja SIA Jette)</t>
  </si>
  <si>
    <t>Pirmsskolas tradīcijas "Cauri gadskārtām" tālākai īstenošanai -Tautas tērpi (14 zēniem un 14 meitenēm) EUR 71x28=EUR 2000 (cenu aptauja SIA Muduri)</t>
  </si>
  <si>
    <t>U8.3.2: Attīstīt vides izglītību: C8.3.2.1. “Zaļās” domāšanas veicināšana; C7.2.2.1. Aktivitāšu īstenošana pētniecības un inovācijas sekmēšanai</t>
  </si>
  <si>
    <t xml:space="preserve">Dabas izglītības novadā veicināšanai un dabaszinību mācību jomas īstenošanai: Kupola siltumnīca . 6m diametrs, 27m2, koka karkass, caurspīdīgs brezents, vērtnes EUR 3100+90+20=EUR 3210.00 (tāme SIA "Geo kupols") un piegāde EUR 98.00 (140kmxEUR 0.70). Kopā EUR 3308.00 </t>
  </si>
  <si>
    <t>Pārvietojamie, ūdeni izsmidzinošie ventilatori ar jonizēšanas sistēmu un statīvu (32W) 2. un 3. stāva 8. grupās un ēdamzālē, lai vasaras periodā nodrošinātu papildus gaisa apmaiņu, mitrināšanu un telpu dzesēšanu. EUR 110.00x9=EUR 990.00 (tāme: vidaXL) )</t>
  </si>
  <si>
    <t>UV-C starojuma dezinfekcijas griestu lampas TMS031 1xTUV T8 36W HFP pirmsskolas 8. grupas telpu dezinfekcijai. EUR 140x8 gab= EUR 1120 (tāme no SIA Elektrika)</t>
  </si>
  <si>
    <t>UV-C pārvietojams starojuma gaismeklis ar spuldzi UV-C STERILON FLOW 72W iestādes telpu un medpunkta ar gaisa plūsmas dezinfekcijas funkciju. EUR 427.00 (tāme no SIA Elektrika)</t>
  </si>
  <si>
    <t xml:space="preserve"> 28 gab. insektu sieti rāmī stikla  pakešu logiem (11 grupu telpām, ēdamzālei, medmāsas kab.) ar uzstādīšanu EUR 73.00x28=EUR2044 (cena pamatojoties uz cenu aptauju SIA DG Multifabrika)</t>
  </si>
  <si>
    <t>Zaļās magnētiskās krīta tāfeles 300x120cm  brīvdabas mācību un rodošajam procesam rotaļu laukuma nojumēs. 4 gab. x EUR 225=EUR 900.00 (cenu aptauja SIA Bolderāja serviss)</t>
  </si>
  <si>
    <t>Pārējie enerģētiskie materiāli-mehānismiem</t>
  </si>
  <si>
    <t xml:space="preserve">2021. gads degviela (piešķirts 80 l mēnesī) </t>
  </si>
  <si>
    <t xml:space="preserve">Iestādes pamatdarbības nodrošināšanai - Degviela iestādes patapinātajiem transportlīdzekļiem Mēnenī piešķirti 80, bet tiks izmantoti vidēji 65 litri x EUR 1.20*11 mēn=EUR 880.00  </t>
  </si>
  <si>
    <t>Zāles, ķimikālijas, laboratorijas preces, ūdens</t>
  </si>
  <si>
    <t>"Ādažu aptieka" - medicīniskajam kabinetam EUR 180.00</t>
  </si>
  <si>
    <t xml:space="preserve">SIA “Markol”, Līgums Nr. 9841/21 no 01.07.2021., dzeramais ūdens bērniem ikdienas dzeršanai EUR 5.75 uz grupu mēnesī. Pamatojums- pamatojoties uz veikto ūdens analīžu rezultātiem, ēkā ienākošais ūdens arī novārītā veidā nav izmantojams dzeršanai. EUR 5.75x11 gr. X12 mēn.=EUR 759.00 gadā. </t>
  </si>
  <si>
    <t>Kārtējā remonta un iestāžu un uzturēšanas materiāli</t>
  </si>
  <si>
    <t>Saimniecības preces skolotāju palīgiem 11 grupas telpu un āra rotaļlaukumu uzturēšanai kārtībā (slotas,šaufeles,lāpstas, lupatiņas, švammes, atkritumu maisi, u.c.) EUR 90x11 grupas=EUR 990.00</t>
  </si>
  <si>
    <t xml:space="preserve"> Dezinfekcijas līdzekļi 11 grupu telpām un atbalsta personāla, smilšu un sajūtas telpām, mūzikas un sporta jomas kabinetiem. EUR 50x16=EUR 800.00</t>
  </si>
  <si>
    <t>Dekorēšanas priekšmeti pasākumiem (sveces, drapērijas, u.c). EUR 250.00</t>
  </si>
  <si>
    <t>Rezerve EUR 60.00</t>
  </si>
  <si>
    <t>BN_I</t>
  </si>
  <si>
    <t>2021. gads Sporta zāles  sienas akustiskie paneļi un to uzstādīšanas materiāli EUR 4725,79 (oktobrī notiek cenu aptauja un iegāde)</t>
  </si>
  <si>
    <t>C12.1.2.3. Veselības stundu ieviešana pirmsskolās</t>
  </si>
  <si>
    <t>2022. gads - Skaņas skaidrības un saprotamības nodrošināšana sporta zālē: Sporta zāles  griestu (150m2) akustisko paneļu, materiālu iegāde un uzstādīšana. Akustiskie paneļi 150m2xEUR31.00=4650, uzstādīšanas materiāli EUR 2520, Piegāde, pacēlāja noma un uzstādīšana EUR 2150.00. Kopā 4650+2520+2150=EUR 9320  (aprēķins balstīts uz 2021. gada akustisko materiālu piedādes izmaksām)</t>
  </si>
  <si>
    <t>Mācību līdzekļi un materiāli (skolas,PII),akti</t>
  </si>
  <si>
    <t>Mācību materiāli/ izejmateriāli mācību procesa nodrošinājumam:  zīmēšanai un gleznošanai (krāsas (guaša, akvareļkrāsas, pirkstiņkrāsas), krītiņi (eļļas, vaska, asfalta; veidošanai (mīkla (sāls, smilšu, piparkūku), vilna, plastilīns u. c.); ēdiena pagatavošanai (augļi, graudaugi, dārzeņi, ogas, dzīvnieku valsts izcelsmes produkti, garšaugi, garšvielas, ārstniecības augi); daudzveidīgai izmantošanai (dzija, auklas, stieples (metāla, plastmasas), virves, griežamas tekstilijas (filcs, kokvilna, lins, dzija), dažādas faktūras audumi, lentes, līme (šķidrā, zīmuļa), dažādu formu un biezuma papīri,salvetes, kartons u. c.); šķēres ar noapaļotiem galiem (atbilstoši bērna vadošajai rokai), rakstāmpapīrs, zīmēšanas un akvareļa papīrs. EUR 2.00 mēnesī x210 izglītojamajiem 11  grupās:  EUR 2.00x210x12 mēn=EUR 5040.00</t>
  </si>
  <si>
    <t>59% no faktiski nepieiešamās summas. Izglītojamo kancejas preču aprēķina pamatojums: Atbilstoši pirmsskolas programmas apguves vecumposmiem gadā 1 izglītojamajam nepeiciešamais finansējums: 1 posms EUR 27.50 ; 2 posms EUR 45.50; 3 posms (5-6 gadīgie) EUR 56.00 gadā. Vidēji uz 1 izglītojamo nepieciešams EUR 3.50 mēnesī vai EUR 42.00 gadā. EUR 42x210=EUR 8820.00</t>
  </si>
  <si>
    <t>Mācību materiāli/ izejmateriāli jomu pedagogiem  (mūzika, sports) un atbalsta personālam (logopēgs, spec.ped., psigologs), mūzikas un sporta pedagogiem EUR 80.00x7= EUR 560.00</t>
  </si>
  <si>
    <t>Mācību līdzekļi - spēles (galda, lietišķās, didaktiskās, rūtiņspēles, skaņu un vārdu spēles, puzles, mozaīkas, konstruktori u.c.); rotaļlietas un citi priekšmeti (lelles, piemēram, zēns, meitene, leļļu aksesuāri, roku lelles, ģērbjamas lelles, apģērbs, mēbeles, trauki, dzīvnieki, automašīnas,
dažādu formu un lieluma kluči, u.c.); Iespieddarbi, to skaitā izziņas literatūra (bērnu grāmatas, pasakas, dzejoļi, stāsti, enciklopēdijas u. c); uzskates materiāli (ciparu (0–9), skaitļu (daudzuma), iespiedburtu, rakstīto burtu, emociju, vārdu (kopā ar attēlu), simbolu u. c. kartītes).  EUR 250.00x11 grupām= EUR 2750.00</t>
  </si>
  <si>
    <t>Mācību līdzekļi un materiāli jomu pedagogiem un atbalsta personālam (logopēds, spec.ped., psigologs, mūzikas un sporta pedagogi) t.sk. audioieraksti (Dabas skaņas, Latvijas valsts himna, tautasdziesmas, Ziemassvētku dziesmas, bērnu dziesmas, dažādu instrumentu spēles
paraugi, latviešu tautas, cittautu un literārās pasakas, dzejoļi, lugas (teksta izpildījums dažādās valodās atbilstoši grupas
etniskajam sastāvam) u. c.); videoieraksti (bērnu izrādes, tautasdejas, mūsdienu dejas u. c.) EUR 90.00x7= EUR 630.00</t>
  </si>
  <si>
    <t>C8.3.2.1. “Zaļās” domāšanas veicināšana</t>
  </si>
  <si>
    <t>Melnzeme un kūdras maisījumi 11 grupām dabaszinātņu jomas nodarbībām  augu sēšanai un stādīšanai iestādes teritorijas dobēm EUR 150.00</t>
  </si>
  <si>
    <t>C5.1.4.3. Smilšu, mākslas un relaksācijas telpas izveide; C8.1.2.3. Iekļaujošas pirmsskolas izglītības pieejamības nodrošināšana</t>
  </si>
  <si>
    <t>Silikona smiltis smilšu lampām grupās un atbalsta personālam individuālajam darbam ar bērniem ar MG un MT  EUR 6.95x2 gab.x14=EUR 194.60</t>
  </si>
  <si>
    <t>Individuālajam darbam ar bērniem ar MG un MT kinētiskās smiltis (5kg) 11 grupām, 3 atbalsta personāka kabinetiem EUR 34.50x14=EUR 483.00</t>
  </si>
  <si>
    <t>Mācību līdzekļi sporta zālei Veselības un fiziskās aktivitātes mācību jomas īstenošanai: magnētiskā tāfele, sfērisko formu komplekts kāpelēšanai, līdzsvara taciņa ar saliņām, pussfēras “ezīši”  EUR 250.00</t>
  </si>
  <si>
    <t>Mācību līdzekļi un materiāli mērķdotācija</t>
  </si>
  <si>
    <t>MD mācību līdzekļiem 2021.gadam EUR 18.07x15=270.51</t>
  </si>
  <si>
    <t>MD mācību līdzekļiem 2022.gadam EUR 18.00*35=630.00</t>
  </si>
  <si>
    <t>Pārējās preces</t>
  </si>
  <si>
    <t>Ziedi un to izstrādājumi nozīmīgiem pasākumiem (t.sk. Izlaidums, 1. septembris, Skolotāju diena, u.c.)</t>
  </si>
  <si>
    <t>Dekoratīvio augu stādi, sēklas, sīpoli, sīpolpuķu sīpoli (dekoratīvajiem traukiem un dobēm) teritorijas apzaļumošanai EUR 250.00</t>
  </si>
  <si>
    <t>Vides iekārtošanas materiāli (t.sk. āra un iekštelpu dekoratīvie puķu trauki, 24 bilžu rāmji gaiteņu sienu noformējumam) EUR 380.00</t>
  </si>
  <si>
    <t>ID</t>
  </si>
  <si>
    <t>Pārtika (kafija, tēja, min.ūdens, konfektes, cukurs, cepumi ) viesu uzņemšanai, pieredzes apmaiņas semināriem. EUR 250.00</t>
  </si>
  <si>
    <t>Konditoreja (līdz jauna iepirkuma veikšanai izmantojot ĀND līguma atlaides  konditorejā Saracēns). Svētku kliņģeri: izlaidums, gadskārtu svētki, ECO skolas  pieredzes seminārs, u.c. EUR 200.00</t>
  </si>
  <si>
    <t>2022. gada Izlaidumamam: 19 bērniem piemiņas grāmatas/albūmi EUR 3.00x19=EUR 57.00</t>
  </si>
  <si>
    <t>C12.1.2.4. Izglītojošo, kultūras un sporta pasākumu organizēšana ģimenēm (bērniem, jauniešiem, vecākiem un senioriem); C14.1.7.1. Pirmsskolas izglītības iestāžu sadarbības veicināšana ar vecākiem</t>
  </si>
  <si>
    <t>Pasākums ģimenēm veselīga dzīvesveida popularizēšnai:Vecāku, vecvecāku dienu ietvaros sporta spēles maija beigās - 200 gab. šokolādes medaļas: EUR 1.50x200=EUR 300.00</t>
  </si>
  <si>
    <t xml:space="preserve">C12.1.2.1. Veselīga dzīvesveida veicināšana; C12.1.2.3. Veselības stundu ieviešana pirmsskolās </t>
  </si>
  <si>
    <t>Veselības un fiziskās aktivitātes mācību jomas īstenošanai - Ziemas sporta un brīvā laika āra inventārs (t.sk. 4 ragavas katrai grupai, sniega lāpstas, grābeklīši, slotiņas, smilšu formas, u.c.) EUR 470.00</t>
  </si>
  <si>
    <t>Sociālās un pilsoniskās mācību jomas īstenošanai: Latvijas valsts karogs mastam (200x100 cm) 2xEUR25=EUR 50.00</t>
  </si>
  <si>
    <t>Ziemassvētku egles EUR 200.00</t>
  </si>
  <si>
    <t xml:space="preserve">Tehnoloģiju mācību jomas īstenošanai: Mini elektriskā/mikroviļņu  krāsns  (42l),un 2. gatavošanas riņķiemsulu spiede, mikseris  EUR 180.00 </t>
  </si>
  <si>
    <t>C8.1.1.4. Brīvdabas bērnudārzu un skolu izveide; C16.1.1.2. Pašvaldības iestāžu, struktūrvienību un uzņēmumu materiāltehniskās bāzes paplašināšana</t>
  </si>
  <si>
    <t>Brīvdabas mācību un brīvā laika vides izveide: āra koka galdu un solu komplektu nomaiņa. 3 kompl.x EUR 450.00=EUR 1350.00</t>
  </si>
  <si>
    <t>Reprezentācijas materiāli EUR 200.00</t>
  </si>
  <si>
    <t>2512</t>
  </si>
  <si>
    <t>Pievienotās vērtības nodoklis</t>
  </si>
  <si>
    <t>Bāze_kapitālās</t>
  </si>
  <si>
    <t>BNk</t>
  </si>
  <si>
    <t>5120</t>
  </si>
  <si>
    <t>Licences, koncesijas un patenti, preču zīmes un līdzīgas tiesības</t>
  </si>
  <si>
    <t>18 Licences "OfficeStd 2019 SNGL OLP NL Acdmc" iestādes datoriem EUR 68.00 (ar PVN)x18=EUR 1224.00 (cena balstīta uz 06.04.2021. ar SIA “DPA”  piegādes līguma cenu)</t>
  </si>
  <si>
    <t>ED-SW-1-Smart Learning suite ga Licences atslēga interaktīvajam displejam (gadam) EUR 205.00</t>
  </si>
  <si>
    <t>5121</t>
  </si>
  <si>
    <t xml:space="preserve">1. licences "OfficeStd 2019 SNGL OLP NL Acdmc" iestādes datoram EUR 68.00 (ar PVN), ja tiek atbalstīta EKK 5238 pozīcija:1.portatīvais dators-atbalsta personālam kopā medicīnas māsu. EUR 68.00 </t>
  </si>
  <si>
    <t>Tehnoloģiskās iekārtas un mašīnas</t>
  </si>
  <si>
    <t>Datortehnika, sakaru un cita biroja tehnika</t>
  </si>
  <si>
    <t>C16.1.2.1 Digitalizācijas rīku ieviešana darba organizācijai un pakalpojumu nodrošināšanai; C16.1.1.2. Pašvaldības iestāžu, struktūrvienību un uzņēmumu materiāltehniskās bāzes paplašināšana</t>
  </si>
  <si>
    <t xml:space="preserve">Portatīvais dators-atbalsta personālam kopā medicīnas māsu  EUR 650.00 </t>
  </si>
  <si>
    <t>Saimniecības pamatlīdzekļi</t>
  </si>
  <si>
    <t>Grīdas mazgājamā mašīna 2500 m2 grīdas seguma ikdienas uzkopšanai: "Felcom" SIA, Kärcher BD 50/50 C Bp Classic EUR 2410.00 (cenu aptauja SIA Depo)</t>
  </si>
  <si>
    <t>5240</t>
  </si>
  <si>
    <t>Pamatlīdzekļu izveidošana un nepabeigtā celtniecība</t>
  </si>
  <si>
    <t>PII Piejūra būvniecība</t>
  </si>
  <si>
    <t>PII Piejūra būvniecība no prioritārā projekta</t>
  </si>
  <si>
    <r>
      <rPr>
        <sz val="8"/>
        <color rgb="FFFF0000"/>
        <rFont val="Times New Roman"/>
        <family val="1"/>
        <charset val="186"/>
      </rPr>
      <t xml:space="preserve">Vai tas katru gadu? </t>
    </r>
    <r>
      <rPr>
        <sz val="8"/>
        <color theme="8" tint="-0.499984740745262"/>
        <rFont val="Times New Roman"/>
        <family val="1"/>
        <charset val="186"/>
      </rPr>
      <t>Jā, darbinieku profesionālā pilnveide līdz šim tika nodrošināta katru gadu.</t>
    </r>
  </si>
  <si>
    <r>
      <t xml:space="preserve">49 darbinieku profesionālās pilnveides kursi un semināri  EUR </t>
    </r>
    <r>
      <rPr>
        <i/>
        <sz val="8"/>
        <color theme="8" tint="-0.499984740745262"/>
        <rFont val="Arial"/>
        <family val="2"/>
        <charset val="186"/>
      </rPr>
      <t>75</t>
    </r>
    <r>
      <rPr>
        <i/>
        <sz val="8"/>
        <rFont val="Arial"/>
        <family val="2"/>
        <charset val="186"/>
      </rPr>
      <t>x49=EUR 3675</t>
    </r>
  </si>
  <si>
    <r>
      <t xml:space="preserve">ID: Atzinumu, ka nepieciešams? </t>
    </r>
    <r>
      <rPr>
        <sz val="8"/>
        <color theme="8" tint="-0.499984740745262"/>
        <rFont val="Calibri"/>
        <family val="2"/>
        <charset val="186"/>
        <scheme val="minor"/>
      </rPr>
      <t>Ņemot vērā negatīvo pieredzi 2021. gada vasaras mēnešos, kad 2. un 3. stāva astoņās grupās un ēdamzālē  izglītojamie bija pārkarsuši, telpās gaiss bija karsts un spiedīgs, mehāniskā ventilācija telpās nenodrošināja gaisa plūsmu un dzesēšanu. Sevišķi kritiska situācija bija 3. stāva četrās grupās, kad vēdināšana caur  sakarsušajiem jumta logiem radīja tikai karstu caurvēju, kas veicināja izglītojamo un darbinieku diskomfortu un regulāru elpceļu saslimšanu. Analizējot situāciju un meklējot risinājumus, tika secināts, ka ir nepieciešams nodrošināt dzesējošu gaisa plūsmu, ko nodrošina izvēlētie ventilatori ar gaisa plūsmu 47,9 m³/min; 3,2 litru ūdens tvertni (nodrošina mitrināšanu 10h ar izsmidzināšanas tilpums: 220 ml/h) un gaisa jonizatora funkciju, kas attīra gaisu telpās, kurā vienlaicīgi uzturas 18-20 izglītojamie un vismaz 2 pieaugušie, samazinot baktēriju un vīrusu daudzumu gaisā. Gaisa mitrinātājs un jonizators tiks izmatots arī ziemas mēnešos attīrot mitrinot sauso gaisu un nodrošinot izglītojamajiem veselīgu vidi.</t>
    </r>
  </si>
  <si>
    <r>
      <t xml:space="preserve">ID: Atzinumu, ka nepieciešams? </t>
    </r>
    <r>
      <rPr>
        <sz val="8"/>
        <color theme="8" tint="-0.499984740745262"/>
        <rFont val="Calibri"/>
        <family val="2"/>
        <charset val="186"/>
        <scheme val="minor"/>
      </rPr>
      <t xml:space="preserve"> Iestādē ir tikai viens UV-C pārvietojams starojuma gaismeklis ar spuldzi UV-C STERILON FLOW, kas ir identisks pēc savas darbības un pierādījis savu efektivitāti, tāpēc griestu lampas būtu efektīvs preventīvs līdzeklis katrā grupā, bērniem nepieejamā vietā, lai plaši sekmētu izglītojamo veselību, mazinātu akūto augšējo elpceļu infekciju cirkulāciju gaisā, t.sk. Covid -19 izplatību (grupas telpā vienlaicīgi uzturas 18-20 izglītojamie un pastāv augsts saslimšanas risks), nodrošinātu regulāru un vienlaicīgi 100% telpu, rotaļlietu un visu virsmu dezinficēšanu, kad telpā neatrodas bērni.</t>
    </r>
  </si>
  <si>
    <r>
      <t>ID: Atzinumu, ka nepieciešams?</t>
    </r>
    <r>
      <rPr>
        <sz val="8"/>
        <color rgb="FF002060"/>
        <rFont val="Calibri"/>
        <family val="2"/>
        <charset val="186"/>
        <scheme val="minor"/>
      </rPr>
      <t xml:space="preserve"> Līdzekļu iespējamības gadījumā, ļoti nepieciešams inventārs, jo iestādē ir tikai viens identisks UV-C pārvietojams starojuma gaismeklis ar spuldzi UV-C STERILON FLOW, kas uz lielo ākas kvadratūru ir nepietiekami, jo tas  nemitīgi pārnēsājot tiek izmantots visu koplietošanas telpu (gaiteņu, Sporta zāles, Mūzikas telpas, Atbalsta  personāla telpu, kāpņu telpu ) un grupas telpu pakāpeniskai gaisa un virsmu dezinfekcijai vīrusa infekciju un Covid -19 izplatības ierobežošanai</t>
    </r>
  </si>
  <si>
    <r>
      <t>Augstspiediena mazgātājs</t>
    </r>
    <r>
      <rPr>
        <i/>
        <sz val="8"/>
        <color rgb="FFFF0000"/>
        <rFont val="Arial"/>
        <family val="2"/>
        <charset val="186"/>
      </rPr>
      <t xml:space="preserve"> bruģa seguma kopšanai</t>
    </r>
    <r>
      <rPr>
        <i/>
        <sz val="8"/>
        <rFont val="Arial"/>
        <family val="2"/>
        <charset val="186"/>
      </rPr>
      <t xml:space="preserve"> KARCHER 4 PREMIUM POWER CONTROL EUR 330.00 (cenu aptauja SIA Depo)</t>
    </r>
  </si>
  <si>
    <r>
      <t>ID: Kāds mērķis?</t>
    </r>
    <r>
      <rPr>
        <sz val="8"/>
        <color theme="8" tint="-0.499984740745262"/>
        <rFont val="Times New Roman"/>
        <family val="1"/>
        <charset val="186"/>
      </rPr>
      <t xml:space="preserve"> Plašā āra bruģa seguma regulārai uzkopšanai (ielikts SPII budžetā pēc Īpašumu apsaimniekošanas nodaļas PII "Piejūra"
saimniecības pārziņa R. Kaufmaņa lūguma)  </t>
    </r>
  </si>
  <si>
    <t>Rīcības plāna Nr.; Finansējuma avots</t>
  </si>
  <si>
    <t>Faktiskā izpilde uz 10.2021.</t>
  </si>
  <si>
    <t>Komentāri</t>
  </si>
  <si>
    <t>06.100.113</t>
  </si>
  <si>
    <t>PII Piejūra</t>
  </si>
  <si>
    <t>Pārējo darbinieku mēneša pamatalga</t>
  </si>
  <si>
    <t>Piemaksa par virsstundām un darbu svētku dienās</t>
  </si>
  <si>
    <t>Piemaksa par papildu darbu (bilances piemaksas)</t>
  </si>
  <si>
    <t>Darba dev.labumi,ves.uzlab.,naudas balvas (slimāibas naudas</t>
  </si>
  <si>
    <t>Darba devēja izdevumi veselības, dzīvības un nelaimes gadījumu apdrošināšanai</t>
  </si>
  <si>
    <t xml:space="preserve"> SIA "Clean R" Nr.2018/103 "Par sadzīves atkritumu apsaimniekošanu"</t>
  </si>
  <si>
    <t xml:space="preserve">Izdevumi par transporta pakalpojumiem </t>
  </si>
  <si>
    <t>Preču piegādei</t>
  </si>
  <si>
    <t>Apmācības</t>
  </si>
  <si>
    <t>Lifta apkope un uzturēšana SIA "Schindler lifts" 708eiro/gadā 01.11.2021 +sertificēšana</t>
  </si>
  <si>
    <t>Granulu silosa līmeņa sensors un tā uzstādīšana</t>
  </si>
  <si>
    <t>Ventilācijas sistēmu iekārtu apkope (SIA "CITY service" līg. Nr. 02-20.1/2021/34)</t>
  </si>
  <si>
    <t>Medicīnas instrumentu verificēšana</t>
  </si>
  <si>
    <t>Dūmvadu tīrīšana</t>
  </si>
  <si>
    <t>Rotaļu laukuma inventāra apkope  varbūt ir garantijas remonts )</t>
  </si>
  <si>
    <t xml:space="preserve">Logu mazgāšana 2. un 3. stāvos </t>
  </si>
  <si>
    <t>Apsardzes pakalpojumi( Līgums NR02-20.1/2021/12 ar SIA Koblenz Drošiba)</t>
  </si>
  <si>
    <t>Bērnu laukumu ikgadējā pārbaude</t>
  </si>
  <si>
    <t>Deratizācija un dezinsekcija (SIA "Profilakse" līg. Nr. 02-20.1/2021/51)</t>
  </si>
  <si>
    <t>Informācijas tehnoloģiju pakalpojumi</t>
  </si>
  <si>
    <t>SIA AutoNams (servera uzturēšana) (līg.Nr.2015/9)</t>
  </si>
  <si>
    <t>Iekārtu, aparatūras un inventāra īre un noma</t>
  </si>
  <si>
    <t>Paklāju noma SIA "Elis tekstila serviss"</t>
  </si>
  <si>
    <t>Sastatņu noma sporta zālei</t>
  </si>
  <si>
    <t xml:space="preserve"> Rokas instrumenti (ja salūst lāpsta, grābeklis, zāģis u.c.)</t>
  </si>
  <si>
    <t>Koka sēta ap futbola laukumu</t>
  </si>
  <si>
    <t xml:space="preserve">Kurināmais </t>
  </si>
  <si>
    <t>Granulas   sia "Latgales granulas"     02-20.1/2021/49      2021.10.augusts      169 eiro bez pvn/m3   Kopēja līguma cena 39000eiro</t>
  </si>
  <si>
    <t>Pārējie enerģētiskie materiāli</t>
  </si>
  <si>
    <t>Lampas, spuldzes, slēdži, rozetes, pagarinātāji.</t>
  </si>
  <si>
    <t>Kārtējā remonta un iestāžu uzturēšanas materiāli</t>
  </si>
  <si>
    <t>Čipatslēgas ieejas durvīm</t>
  </si>
  <si>
    <t>Smilšu iegāde</t>
  </si>
  <si>
    <t>Puķu dobju un apstādījumu rekonstrukcijas materiāli</t>
  </si>
  <si>
    <t>Dažādi materiāli: atslēgas, skrūves,  durvju rokturi, krāsas, Putekļu maisiņi putekļu sūcējiem</t>
  </si>
  <si>
    <t>Darba cimdi</t>
  </si>
  <si>
    <t>Grīdas vasks</t>
  </si>
  <si>
    <t>Saimniecības materiāli (ziepes, papīri, pulveris, putu ziepju dozatori, atkritumu maisi, cimdi,  uzkopšanas materiāli) dezinfekcijas līdzekļi</t>
  </si>
  <si>
    <t>Pārējie budžeta iestāžu pārskaitītie nodokļi un nodevas</t>
  </si>
  <si>
    <t>Datorprogrammas</t>
  </si>
  <si>
    <t>Žoga un vārtiņu izbūve gar bērnu laukumu līdz ēkas sienai</t>
  </si>
  <si>
    <t>KOPĀ</t>
  </si>
  <si>
    <t>Samazinājums</t>
  </si>
  <si>
    <t>Pašvaldības finansējums</t>
  </si>
  <si>
    <t>Nav atbalstīts</t>
  </si>
  <si>
    <t>Nav nepieciešams</t>
  </si>
  <si>
    <t>Dienā</t>
  </si>
  <si>
    <t>Elektoenerģija, apkuress izmaksas</t>
  </si>
  <si>
    <t>Stundā</t>
  </si>
  <si>
    <t>Aiziet uz 40.rindu</t>
  </si>
  <si>
    <t>Aiziet uz 58.rindu</t>
  </si>
  <si>
    <t>PII Piejūra būvniecības pabeigšana</t>
  </si>
  <si>
    <t>A2/1/21/120</t>
  </si>
  <si>
    <t>Prioritārais projekts "PII "Piejūra" būvniecība"</t>
  </si>
  <si>
    <t>A2/1/21/41</t>
  </si>
  <si>
    <t>2022.gadam</t>
  </si>
  <si>
    <t>pamats.</t>
  </si>
  <si>
    <t>%</t>
  </si>
  <si>
    <t xml:space="preserve">Zn  </t>
  </si>
  <si>
    <t>Ja zeme pieder iznomātājam (Zemes kadastrālā vērtība*1,5%)/proporciju, bet ne mazāk kā 28 EUR/gadā)/12</t>
  </si>
  <si>
    <t>((Tizm/NĪpl + Nizm) x IZNpl)+Zn (ja zeme pieder iznomātājam)</t>
  </si>
  <si>
    <t>Elektoenerģija</t>
  </si>
  <si>
    <t>Apkures izmaksas</t>
  </si>
  <si>
    <t>Atalgojums (4 apkopējas)</t>
  </si>
  <si>
    <t xml:space="preserve"> SIA "Clean R" "Par sadzīves atkritumu apsaimniekošanu"</t>
  </si>
  <si>
    <t>Maksas pakalpojuma izcenojuma aprēķins</t>
  </si>
  <si>
    <t>Siguļu pirmsskolas izglītības iestāde "Piejūra"</t>
  </si>
  <si>
    <t>Sporta zāle</t>
  </si>
  <si>
    <t>Laika posms: ar 2022.gada 1.martu</t>
  </si>
  <si>
    <t>Logopēda kabinets</t>
  </si>
  <si>
    <t>Mūzikas zāle</t>
  </si>
  <si>
    <t>Bērnu un pieaugušo izaugsmes nams "Ligzda"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</si>
</sst>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00_-;\-* #,##0.00_-;_-* &quot;-&quot;??_-;_-@_-"/>
    <numFmt numFmtId="165" formatCode="_-* #,##0_-;\-* #,##0_-;_-* &quot;-&quot;??_-;_-@_-"/>
    <numFmt numFmtId="166" formatCode="0.000%"/>
  </numFmts>
  <fonts count="69" x14ac:knownFonts="1">
    <font>
      <sz val="11"/>
      <color indexed="8"/>
      <name val="Calibri"/>
      <family val="2"/>
      <charset val="186"/>
    </font>
    <font>
      <sz val="11"/>
      <color indexed="8"/>
      <name val="Calibri"/>
      <family val="2"/>
      <charset val="186"/>
    </font>
    <font>
      <b/>
      <sz val="10"/>
      <color indexed="8"/>
      <name val="Verdana"/>
      <family val="2"/>
      <charset val="186"/>
    </font>
    <font>
      <b/>
      <sz val="11"/>
      <color indexed="8"/>
      <name val="Calibri"/>
      <family val="2"/>
      <charset val="186"/>
    </font>
    <font>
      <b/>
      <sz val="11"/>
      <color theme="3"/>
      <name val="Calibri"/>
      <family val="2"/>
      <charset val="186"/>
    </font>
    <font>
      <sz val="11"/>
      <color theme="3"/>
      <name val="Calibri"/>
      <family val="2"/>
      <charset val="186"/>
    </font>
    <font>
      <sz val="9"/>
      <color indexed="8"/>
      <name val="Verdana"/>
      <family val="2"/>
      <charset val="186"/>
    </font>
    <font>
      <sz val="11"/>
      <name val="Calibri"/>
      <family val="2"/>
      <charset val="186"/>
    </font>
    <font>
      <sz val="10"/>
      <color indexed="8"/>
      <name val="Calibri"/>
      <family val="2"/>
      <charset val="186"/>
    </font>
    <font>
      <sz val="10"/>
      <name val="Arial"/>
      <family val="2"/>
      <charset val="186"/>
    </font>
    <font>
      <b/>
      <sz val="10"/>
      <name val="Arial"/>
      <family val="2"/>
      <charset val="186"/>
    </font>
    <font>
      <sz val="10"/>
      <color theme="5"/>
      <name val="Calibri"/>
      <family val="2"/>
      <charset val="186"/>
    </font>
    <font>
      <sz val="11"/>
      <color rgb="FFFF0000"/>
      <name val="Calibri"/>
      <family val="2"/>
      <charset val="186"/>
    </font>
    <font>
      <sz val="9"/>
      <color theme="1"/>
      <name val="Arial"/>
      <family val="2"/>
      <charset val="186"/>
    </font>
    <font>
      <sz val="10"/>
      <name val="Times New Roman"/>
      <family val="1"/>
      <charset val="186"/>
    </font>
    <font>
      <b/>
      <sz val="11"/>
      <color indexed="8"/>
      <name val="Calibri"/>
      <family val="2"/>
    </font>
    <font>
      <b/>
      <sz val="8"/>
      <color rgb="FFFF0000"/>
      <name val="Arial"/>
      <family val="2"/>
      <charset val="186"/>
    </font>
    <font>
      <b/>
      <sz val="8"/>
      <name val="Arial"/>
      <family val="2"/>
      <charset val="186"/>
    </font>
    <font>
      <b/>
      <sz val="8"/>
      <color theme="1"/>
      <name val="Arial"/>
      <family val="2"/>
      <charset val="186"/>
    </font>
    <font>
      <b/>
      <sz val="8"/>
      <color theme="9" tint="-0.499984740745262"/>
      <name val="Arial"/>
      <family val="2"/>
      <charset val="186"/>
    </font>
    <font>
      <b/>
      <sz val="8"/>
      <color rgb="FF7030A0"/>
      <name val="Times New Roman"/>
      <family val="1"/>
      <charset val="186"/>
    </font>
    <font>
      <sz val="8"/>
      <name val="Times New Roman"/>
      <family val="1"/>
      <charset val="186"/>
    </font>
    <font>
      <sz val="8"/>
      <color theme="3"/>
      <name val="Times New Roman"/>
      <family val="1"/>
      <charset val="186"/>
    </font>
    <font>
      <b/>
      <sz val="8"/>
      <name val="Times New Roman"/>
      <family val="1"/>
      <charset val="186"/>
    </font>
    <font>
      <sz val="8"/>
      <name val="Arial"/>
      <family val="2"/>
      <charset val="186"/>
    </font>
    <font>
      <sz val="9"/>
      <color indexed="8"/>
      <name val="Arial"/>
      <family val="2"/>
      <charset val="186"/>
    </font>
    <font>
      <sz val="8"/>
      <color theme="3"/>
      <name val="Arial"/>
      <family val="2"/>
      <charset val="186"/>
    </font>
    <font>
      <sz val="9"/>
      <color rgb="FFFF0000"/>
      <name val="Arial"/>
      <family val="2"/>
      <charset val="186"/>
    </font>
    <font>
      <i/>
      <sz val="8"/>
      <name val="Arial"/>
      <family val="2"/>
      <charset val="186"/>
    </font>
    <font>
      <i/>
      <sz val="8"/>
      <color theme="3"/>
      <name val="Arial"/>
      <family val="2"/>
      <charset val="186"/>
    </font>
    <font>
      <sz val="8"/>
      <color rgb="FFFF0000"/>
      <name val="Arial"/>
      <family val="2"/>
      <charset val="186"/>
    </font>
    <font>
      <i/>
      <sz val="8"/>
      <color rgb="FFFF0000"/>
      <name val="Arial"/>
      <family val="2"/>
      <charset val="186"/>
    </font>
    <font>
      <sz val="8"/>
      <color theme="1"/>
      <name val="Times New Roman"/>
      <family val="1"/>
      <charset val="186"/>
    </font>
    <font>
      <i/>
      <sz val="8"/>
      <color indexed="54"/>
      <name val="Arial"/>
      <family val="2"/>
      <charset val="186"/>
    </font>
    <font>
      <sz val="8"/>
      <color theme="1"/>
      <name val="Arial"/>
      <family val="2"/>
      <charset val="186"/>
    </font>
    <font>
      <i/>
      <sz val="8"/>
      <color indexed="10"/>
      <name val="Arial"/>
      <family val="2"/>
      <charset val="186"/>
    </font>
    <font>
      <sz val="8"/>
      <color indexed="10"/>
      <name val="Arial"/>
      <family val="2"/>
      <charset val="186"/>
    </font>
    <font>
      <sz val="6"/>
      <color theme="1"/>
      <name val="Calibri"/>
      <family val="2"/>
      <charset val="186"/>
      <scheme val="minor"/>
    </font>
    <font>
      <sz val="8"/>
      <color rgb="FFFF0000"/>
      <name val="Times New Roman"/>
      <family val="1"/>
      <charset val="186"/>
    </font>
    <font>
      <sz val="8"/>
      <color theme="8" tint="-0.499984740745262"/>
      <name val="Times New Roman"/>
      <family val="1"/>
      <charset val="186"/>
    </font>
    <font>
      <sz val="8"/>
      <color rgb="FF1E1E1E"/>
      <name val="Arial"/>
      <family val="2"/>
      <charset val="186"/>
    </font>
    <font>
      <sz val="9"/>
      <color rgb="FFFF0000"/>
      <name val="Times New Roman"/>
      <family val="1"/>
      <charset val="186"/>
    </font>
    <font>
      <sz val="8"/>
      <color rgb="FF002060"/>
      <name val="Times New Roman"/>
      <family val="1"/>
      <charset val="186"/>
    </font>
    <font>
      <i/>
      <sz val="8"/>
      <color theme="8" tint="-0.499984740745262"/>
      <name val="Arial"/>
      <family val="2"/>
      <charset val="186"/>
    </font>
    <font>
      <i/>
      <sz val="8"/>
      <color indexed="18"/>
      <name val="Arial"/>
      <family val="2"/>
      <charset val="186"/>
    </font>
    <font>
      <sz val="8"/>
      <color theme="1"/>
      <name val="Calibri"/>
      <family val="2"/>
      <charset val="186"/>
      <scheme val="minor"/>
    </font>
    <font>
      <sz val="8"/>
      <color rgb="FFFF0000"/>
      <name val="Calibri"/>
      <family val="2"/>
      <charset val="186"/>
      <scheme val="minor"/>
    </font>
    <font>
      <sz val="8"/>
      <color theme="8" tint="-0.499984740745262"/>
      <name val="Calibri"/>
      <family val="2"/>
      <charset val="186"/>
      <scheme val="minor"/>
    </font>
    <font>
      <sz val="8"/>
      <color rgb="FF002060"/>
      <name val="Calibri"/>
      <family val="2"/>
      <charset val="186"/>
      <scheme val="minor"/>
    </font>
    <font>
      <sz val="9"/>
      <name val="Arial"/>
      <family val="2"/>
      <charset val="186"/>
    </font>
    <font>
      <i/>
      <sz val="8"/>
      <color theme="8" tint="-0.249977111117893"/>
      <name val="Arial"/>
      <family val="2"/>
      <charset val="186"/>
    </font>
    <font>
      <sz val="9"/>
      <color theme="9" tint="-0.499984740745262"/>
      <name val="Arial"/>
      <family val="2"/>
      <charset val="186"/>
    </font>
    <font>
      <sz val="9"/>
      <color rgb="FF7030A0"/>
      <name val="Arial"/>
      <family val="2"/>
      <charset val="186"/>
    </font>
    <font>
      <sz val="9"/>
      <color theme="3"/>
      <name val="Arial"/>
      <family val="2"/>
      <charset val="186"/>
    </font>
    <font>
      <b/>
      <sz val="9"/>
      <color indexed="81"/>
      <name val="Tahoma"/>
      <family val="2"/>
      <charset val="186"/>
    </font>
    <font>
      <sz val="9"/>
      <color indexed="81"/>
      <name val="Tahoma"/>
      <family val="2"/>
      <charset val="186"/>
    </font>
    <font>
      <sz val="8"/>
      <color indexed="81"/>
      <name val="Tahoma"/>
      <family val="2"/>
      <charset val="186"/>
    </font>
    <font>
      <b/>
      <sz val="8"/>
      <color theme="3"/>
      <name val="Arial"/>
      <family val="2"/>
      <charset val="186"/>
    </font>
    <font>
      <b/>
      <sz val="8"/>
      <color rgb="FFC00000"/>
      <name val="Arial"/>
      <family val="2"/>
      <charset val="186"/>
    </font>
    <font>
      <i/>
      <sz val="8"/>
      <color theme="1"/>
      <name val="Arial"/>
      <family val="2"/>
      <charset val="186"/>
    </font>
    <font>
      <i/>
      <sz val="8"/>
      <color rgb="FFC00000"/>
      <name val="Arial"/>
      <family val="2"/>
      <charset val="186"/>
    </font>
    <font>
      <sz val="11"/>
      <color indexed="8"/>
      <name val="Calibri"/>
      <family val="2"/>
      <charset val="186"/>
      <scheme val="minor"/>
    </font>
    <font>
      <sz val="11"/>
      <color theme="1"/>
      <name val="Calibri"/>
      <family val="2"/>
      <charset val="186"/>
    </font>
    <font>
      <sz val="10"/>
      <color theme="1"/>
      <name val="Calibri"/>
      <family val="2"/>
      <charset val="186"/>
    </font>
    <font>
      <b/>
      <sz val="14"/>
      <name val="Times New Roman"/>
      <family val="1"/>
      <charset val="186"/>
    </font>
    <font>
      <sz val="14"/>
      <name val="Times New Roman"/>
      <family val="1"/>
      <charset val="186"/>
    </font>
    <font>
      <sz val="12"/>
      <name val="Times New Roman"/>
      <family val="1"/>
      <charset val="186"/>
    </font>
    <font>
      <b/>
      <sz val="12"/>
      <name val="Times New Roman"/>
      <family val="1"/>
      <charset val="186"/>
    </font>
    <font>
      <sz val="12"/>
      <color indexed="8"/>
      <name val="Calibri"/>
      <family val="2"/>
      <charset val="186"/>
    </font>
  </fonts>
  <fills count="1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2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43"/>
        <bgColor indexed="64"/>
      </patternFill>
    </fill>
    <fill>
      <patternFill patternType="solid">
        <fgColor indexed="42"/>
        <bgColor indexed="64"/>
      </patternFill>
    </fill>
    <fill>
      <patternFill patternType="solid">
        <fgColor rgb="FF92D050"/>
        <bgColor indexed="64"/>
      </patternFill>
    </fill>
    <fill>
      <patternFill patternType="solid">
        <fgColor rgb="FF00B0F0"/>
        <bgColor indexed="64"/>
      </patternFill>
    </fill>
    <fill>
      <patternFill patternType="solid">
        <fgColor rgb="FFCCFFCC"/>
        <bgColor indexed="64"/>
      </patternFill>
    </fill>
    <fill>
      <patternFill patternType="solid">
        <fgColor theme="0"/>
        <bgColor indexed="64"/>
      </patternFill>
    </fill>
    <fill>
      <patternFill patternType="solid">
        <fgColor indexed="55"/>
        <bgColor indexed="64"/>
      </patternFill>
    </fill>
    <fill>
      <patternFill patternType="solid">
        <fgColor rgb="FFFFFF00"/>
        <bgColor indexed="64"/>
      </patternFill>
    </fill>
  </fills>
  <borders count="18">
    <border>
      <left/>
      <right/>
      <top/>
      <bottom/>
      <diagonal/>
    </border>
    <border>
      <left/>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bottom/>
      <diagonal/>
    </border>
    <border>
      <left style="thin">
        <color indexed="64"/>
      </left>
      <right style="thin">
        <color indexed="64"/>
      </right>
      <top/>
      <bottom/>
      <diagonal/>
    </border>
    <border>
      <left style="thin">
        <color indexed="23"/>
      </left>
      <right style="thin">
        <color indexed="23"/>
      </right>
      <top/>
      <bottom style="thin">
        <color indexed="23"/>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164" fontId="13" fillId="0" borderId="0" applyFont="0" applyFill="0" applyBorder="0" applyAlignment="0" applyProtection="0"/>
    <xf numFmtId="0" fontId="14" fillId="0" borderId="0"/>
    <xf numFmtId="164" fontId="25" fillId="0" borderId="0" applyFont="0" applyFill="0" applyBorder="0" applyAlignment="0" applyProtection="0"/>
    <xf numFmtId="164" fontId="1" fillId="0" borderId="0" applyFont="0" applyFill="0" applyBorder="0" applyAlignment="0" applyProtection="0"/>
    <xf numFmtId="0" fontId="9" fillId="0" borderId="0"/>
    <xf numFmtId="0" fontId="9" fillId="0" borderId="0"/>
  </cellStyleXfs>
  <cellXfs count="268">
    <xf numFmtId="0" fontId="0" fillId="0" borderId="0" xfId="0"/>
    <xf numFmtId="0" fontId="2" fillId="0" borderId="0" xfId="0" applyFont="1"/>
    <xf numFmtId="0" fontId="0" fillId="0" borderId="0" xfId="0" applyFill="1"/>
    <xf numFmtId="0" fontId="3" fillId="0" borderId="0" xfId="0" applyFont="1"/>
    <xf numFmtId="0" fontId="4" fillId="0" borderId="0" xfId="0" applyFont="1"/>
    <xf numFmtId="0" fontId="5" fillId="0" borderId="0" xfId="0" applyFont="1"/>
    <xf numFmtId="165" fontId="1" fillId="2" borderId="0" xfId="1" applyNumberFormat="1" applyFont="1" applyFill="1"/>
    <xf numFmtId="0" fontId="6" fillId="0" borderId="0" xfId="0" applyFont="1" applyFill="1" applyAlignment="1">
      <alignment horizontal="right" vertical="center" indent="1"/>
    </xf>
    <xf numFmtId="0" fontId="6" fillId="0" borderId="1" xfId="0" applyFont="1" applyFill="1" applyBorder="1" applyAlignment="1">
      <alignment horizontal="center" vertical="center"/>
    </xf>
    <xf numFmtId="0" fontId="0" fillId="0" borderId="0" xfId="0" applyAlignment="1">
      <alignment horizontal="right"/>
    </xf>
    <xf numFmtId="164" fontId="1" fillId="3" borderId="0" xfId="1" applyFont="1" applyFill="1"/>
    <xf numFmtId="164" fontId="1" fillId="0" borderId="0" xfId="1" applyNumberFormat="1" applyFont="1"/>
    <xf numFmtId="164" fontId="5" fillId="0" borderId="0" xfId="1" applyNumberFormat="1" applyFont="1"/>
    <xf numFmtId="0" fontId="6" fillId="0" borderId="0" xfId="0" applyFont="1" applyFill="1" applyAlignment="1">
      <alignment horizontal="center" vertical="center"/>
    </xf>
    <xf numFmtId="164" fontId="0" fillId="3" borderId="0" xfId="0" applyNumberFormat="1" applyFill="1"/>
    <xf numFmtId="164" fontId="0" fillId="0" borderId="0" xfId="0" applyNumberFormat="1"/>
    <xf numFmtId="165" fontId="7" fillId="4" borderId="0" xfId="1" applyNumberFormat="1" applyFont="1" applyFill="1"/>
    <xf numFmtId="0" fontId="6" fillId="0" borderId="0" xfId="0" applyFont="1" applyAlignment="1">
      <alignment vertical="center"/>
    </xf>
    <xf numFmtId="165" fontId="1" fillId="0" borderId="0" xfId="1" applyNumberFormat="1" applyFont="1"/>
    <xf numFmtId="9" fontId="1" fillId="0" borderId="0" xfId="2" applyFont="1"/>
    <xf numFmtId="165" fontId="1" fillId="4" borderId="0" xfId="1" applyNumberFormat="1" applyFont="1" applyFill="1"/>
    <xf numFmtId="0" fontId="6" fillId="0" borderId="0" xfId="0" applyFont="1" applyAlignment="1"/>
    <xf numFmtId="0" fontId="0" fillId="0" borderId="0" xfId="0" applyAlignment="1">
      <alignment vertical="center"/>
    </xf>
    <xf numFmtId="0" fontId="0" fillId="0" borderId="0" xfId="0" applyFill="1" applyAlignment="1">
      <alignment vertical="center"/>
    </xf>
    <xf numFmtId="0" fontId="6" fillId="0" borderId="0" xfId="0" applyFont="1" applyAlignment="1">
      <alignment horizontal="left" vertical="center" indent="1"/>
    </xf>
    <xf numFmtId="164" fontId="0" fillId="4" borderId="0" xfId="1" applyFont="1" applyFill="1"/>
    <xf numFmtId="0" fontId="6" fillId="0" borderId="0" xfId="0" applyFont="1"/>
    <xf numFmtId="165" fontId="0" fillId="4" borderId="0" xfId="1" applyNumberFormat="1" applyFont="1" applyFill="1"/>
    <xf numFmtId="0" fontId="6" fillId="0" borderId="0" xfId="0" applyFont="1" applyFill="1" applyAlignment="1">
      <alignment horizontal="left" vertical="center" wrapText="1"/>
    </xf>
    <xf numFmtId="0" fontId="8" fillId="0" borderId="0" xfId="0" applyFont="1"/>
    <xf numFmtId="0" fontId="3" fillId="0" borderId="0" xfId="0" applyFont="1" applyAlignment="1">
      <alignment horizontal="right"/>
    </xf>
    <xf numFmtId="165" fontId="9" fillId="0" borderId="0" xfId="1" applyNumberFormat="1" applyFont="1" applyAlignment="1">
      <alignment horizontal="left"/>
    </xf>
    <xf numFmtId="0" fontId="0" fillId="5" borderId="0" xfId="0" applyFill="1"/>
    <xf numFmtId="165" fontId="9" fillId="5" borderId="0" xfId="1" applyNumberFormat="1" applyFont="1" applyFill="1" applyAlignment="1">
      <alignment horizontal="left"/>
    </xf>
    <xf numFmtId="0" fontId="8" fillId="5" borderId="0" xfId="0" applyFont="1" applyFill="1"/>
    <xf numFmtId="0" fontId="0" fillId="6" borderId="0" xfId="0" applyFill="1"/>
    <xf numFmtId="165" fontId="10" fillId="6" borderId="0" xfId="1" applyNumberFormat="1" applyFont="1" applyFill="1" applyAlignment="1">
      <alignment horizontal="left"/>
    </xf>
    <xf numFmtId="0" fontId="0" fillId="0" borderId="0" xfId="0" applyAlignment="1">
      <alignment horizontal="left"/>
    </xf>
    <xf numFmtId="0" fontId="11" fillId="0" borderId="0" xfId="0" applyFont="1" applyAlignment="1">
      <alignment horizontal="left"/>
    </xf>
    <xf numFmtId="165" fontId="7" fillId="0" borderId="0" xfId="1" applyNumberFormat="1" applyFont="1" applyAlignment="1">
      <alignment horizontal="left"/>
    </xf>
    <xf numFmtId="0" fontId="0" fillId="0" borderId="0" xfId="0" applyAlignment="1">
      <alignment wrapText="1"/>
    </xf>
    <xf numFmtId="0" fontId="15" fillId="0" borderId="0" xfId="0" applyFont="1"/>
    <xf numFmtId="165" fontId="12" fillId="0" borderId="0" xfId="1" applyNumberFormat="1" applyFont="1" applyAlignment="1">
      <alignment horizontal="left"/>
    </xf>
    <xf numFmtId="0" fontId="12" fillId="0" borderId="0" xfId="0" applyFont="1"/>
    <xf numFmtId="165" fontId="7" fillId="0" borderId="0" xfId="1" applyNumberFormat="1" applyFont="1" applyFill="1"/>
    <xf numFmtId="0" fontId="16" fillId="0" borderId="2" xfId="0" applyFont="1" applyFill="1" applyBorder="1" applyAlignment="1">
      <alignment wrapText="1"/>
    </xf>
    <xf numFmtId="0" fontId="17" fillId="0" borderId="2" xfId="0" applyFont="1" applyFill="1" applyBorder="1" applyAlignment="1"/>
    <xf numFmtId="0" fontId="18" fillId="0" borderId="2" xfId="0" applyFont="1" applyFill="1" applyBorder="1" applyAlignment="1">
      <alignment horizontal="left"/>
    </xf>
    <xf numFmtId="0" fontId="19" fillId="0" borderId="2" xfId="0" applyFont="1" applyFill="1" applyBorder="1"/>
    <xf numFmtId="0" fontId="17" fillId="0" borderId="2" xfId="0" applyFont="1" applyFill="1" applyBorder="1" applyAlignment="1">
      <alignment wrapText="1"/>
    </xf>
    <xf numFmtId="0" fontId="17" fillId="0" borderId="2" xfId="1" applyNumberFormat="1"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165" fontId="20" fillId="0" borderId="2" xfId="1" applyNumberFormat="1" applyFont="1" applyFill="1" applyBorder="1" applyAlignment="1" applyProtection="1">
      <alignment horizontal="center" vertical="center" wrapText="1"/>
    </xf>
    <xf numFmtId="165" fontId="21" fillId="0" borderId="2" xfId="3" applyNumberFormat="1" applyFont="1" applyFill="1" applyBorder="1" applyAlignment="1" applyProtection="1">
      <alignment horizontal="center" vertical="center" wrapText="1"/>
    </xf>
    <xf numFmtId="165" fontId="22" fillId="0" borderId="2" xfId="3" applyNumberFormat="1" applyFont="1" applyFill="1" applyBorder="1" applyAlignment="1" applyProtection="1">
      <alignment horizontal="center" vertical="center" wrapText="1"/>
    </xf>
    <xf numFmtId="165" fontId="23" fillId="7" borderId="2" xfId="1" applyNumberFormat="1" applyFont="1" applyFill="1" applyBorder="1" applyAlignment="1" applyProtection="1">
      <alignment horizontal="center" vertical="center" wrapText="1"/>
    </xf>
    <xf numFmtId="165" fontId="23" fillId="0" borderId="2" xfId="1" applyNumberFormat="1" applyFont="1" applyFill="1" applyBorder="1" applyAlignment="1" applyProtection="1">
      <alignment horizontal="center" vertical="center" wrapText="1"/>
    </xf>
    <xf numFmtId="165" fontId="21" fillId="0" borderId="2" xfId="1" applyNumberFormat="1" applyFont="1" applyFill="1" applyBorder="1" applyAlignment="1" applyProtection="1">
      <alignment horizontal="center" vertical="center" wrapText="1"/>
    </xf>
    <xf numFmtId="165" fontId="17" fillId="0" borderId="2" xfId="1" applyNumberFormat="1" applyFont="1" applyFill="1" applyBorder="1" applyAlignment="1" applyProtection="1">
      <alignment horizontal="center" vertical="center" wrapText="1"/>
    </xf>
    <xf numFmtId="0" fontId="24" fillId="0" borderId="0" xfId="0" applyFont="1"/>
    <xf numFmtId="0" fontId="24" fillId="0" borderId="2" xfId="0" applyFont="1" applyBorder="1"/>
    <xf numFmtId="0" fontId="24" fillId="0" borderId="2" xfId="0" applyFont="1" applyBorder="1" applyAlignment="1">
      <alignment horizontal="center"/>
    </xf>
    <xf numFmtId="0" fontId="24" fillId="0" borderId="2" xfId="0" applyFont="1" applyBorder="1" applyAlignment="1">
      <alignment horizontal="left" vertical="center" wrapText="1"/>
    </xf>
    <xf numFmtId="165" fontId="24" fillId="8" borderId="3" xfId="5" applyNumberFormat="1" applyFont="1" applyFill="1" applyBorder="1" applyProtection="1">
      <protection locked="0"/>
    </xf>
    <xf numFmtId="165" fontId="26" fillId="8" borderId="3" xfId="5" applyNumberFormat="1" applyFont="1" applyFill="1" applyBorder="1" applyProtection="1">
      <protection locked="0"/>
    </xf>
    <xf numFmtId="165" fontId="24" fillId="7" borderId="3" xfId="5" applyNumberFormat="1" applyFont="1" applyFill="1" applyBorder="1" applyProtection="1">
      <protection locked="0"/>
    </xf>
    <xf numFmtId="0" fontId="27" fillId="0" borderId="0" xfId="0" applyFont="1"/>
    <xf numFmtId="0" fontId="28" fillId="9" borderId="2" xfId="0" applyFont="1" applyFill="1" applyBorder="1"/>
    <xf numFmtId="0" fontId="28" fillId="9" borderId="2" xfId="0" applyFont="1" applyFill="1" applyBorder="1" applyAlignment="1">
      <alignment horizontal="center"/>
    </xf>
    <xf numFmtId="0" fontId="26" fillId="9" borderId="2" xfId="0" applyFont="1" applyFill="1" applyBorder="1" applyAlignment="1">
      <alignment horizontal="right" vertical="center" wrapText="1"/>
    </xf>
    <xf numFmtId="165" fontId="28" fillId="9" borderId="0" xfId="5" applyNumberFormat="1" applyFont="1" applyFill="1" applyBorder="1"/>
    <xf numFmtId="165" fontId="29" fillId="9" borderId="0" xfId="5" applyNumberFormat="1" applyFont="1" applyFill="1" applyBorder="1"/>
    <xf numFmtId="165" fontId="28" fillId="7" borderId="0" xfId="5" applyNumberFormat="1" applyFont="1" applyFill="1" applyBorder="1"/>
    <xf numFmtId="0" fontId="24" fillId="0" borderId="2" xfId="0" applyFont="1" applyFill="1" applyBorder="1"/>
    <xf numFmtId="165" fontId="24" fillId="6" borderId="3" xfId="5" applyNumberFormat="1" applyFont="1" applyFill="1" applyBorder="1" applyProtection="1">
      <protection locked="0"/>
    </xf>
    <xf numFmtId="165" fontId="30" fillId="8" borderId="3" xfId="5" applyNumberFormat="1" applyFont="1" applyFill="1" applyBorder="1" applyProtection="1">
      <protection locked="0"/>
    </xf>
    <xf numFmtId="165" fontId="31" fillId="9" borderId="0" xfId="5" applyNumberFormat="1" applyFont="1" applyFill="1" applyBorder="1"/>
    <xf numFmtId="0" fontId="29" fillId="9" borderId="2" xfId="0" applyFont="1" applyFill="1" applyBorder="1" applyAlignment="1">
      <alignment horizontal="right" vertical="center" wrapText="1"/>
    </xf>
    <xf numFmtId="165" fontId="28" fillId="9" borderId="2" xfId="5" applyNumberFormat="1" applyFont="1" applyFill="1" applyBorder="1"/>
    <xf numFmtId="165" fontId="29" fillId="9" borderId="2" xfId="5" applyNumberFormat="1" applyFont="1" applyFill="1" applyBorder="1"/>
    <xf numFmtId="165" fontId="28" fillId="7" borderId="2" xfId="5" applyNumberFormat="1" applyFont="1" applyFill="1" applyBorder="1"/>
    <xf numFmtId="165" fontId="24" fillId="6" borderId="4" xfId="5" applyNumberFormat="1" applyFont="1" applyFill="1" applyBorder="1" applyProtection="1">
      <protection locked="0"/>
    </xf>
    <xf numFmtId="165" fontId="30" fillId="8" borderId="4" xfId="5" applyNumberFormat="1" applyFont="1" applyFill="1" applyBorder="1" applyProtection="1">
      <protection locked="0"/>
    </xf>
    <xf numFmtId="165" fontId="26" fillId="8" borderId="4" xfId="5" applyNumberFormat="1" applyFont="1" applyFill="1" applyBorder="1" applyProtection="1">
      <protection locked="0"/>
    </xf>
    <xf numFmtId="165" fontId="28" fillId="7" borderId="5" xfId="5" applyNumberFormat="1" applyFont="1" applyFill="1" applyBorder="1"/>
    <xf numFmtId="165" fontId="24" fillId="6" borderId="6" xfId="5" applyNumberFormat="1" applyFont="1" applyFill="1" applyBorder="1" applyProtection="1">
      <protection locked="0"/>
    </xf>
    <xf numFmtId="165" fontId="24" fillId="8" borderId="6" xfId="5" applyNumberFormat="1" applyFont="1" applyFill="1" applyBorder="1" applyProtection="1">
      <protection locked="0"/>
    </xf>
    <xf numFmtId="165" fontId="28" fillId="7" borderId="7" xfId="5" applyNumberFormat="1" applyFont="1" applyFill="1" applyBorder="1"/>
    <xf numFmtId="165" fontId="24" fillId="6" borderId="8" xfId="5" applyNumberFormat="1" applyFont="1" applyFill="1" applyBorder="1" applyProtection="1">
      <protection locked="0"/>
    </xf>
    <xf numFmtId="165" fontId="24" fillId="8" borderId="8" xfId="5" applyNumberFormat="1" applyFont="1" applyFill="1" applyBorder="1" applyProtection="1">
      <protection locked="0"/>
    </xf>
    <xf numFmtId="165" fontId="26" fillId="8" borderId="8" xfId="5" applyNumberFormat="1" applyFont="1" applyFill="1" applyBorder="1" applyProtection="1">
      <protection locked="0"/>
    </xf>
    <xf numFmtId="165" fontId="28" fillId="7" borderId="9" xfId="5" applyNumberFormat="1" applyFont="1" applyFill="1" applyBorder="1"/>
    <xf numFmtId="165" fontId="28" fillId="10" borderId="0" xfId="5" applyNumberFormat="1" applyFont="1" applyFill="1" applyBorder="1"/>
    <xf numFmtId="0" fontId="32" fillId="0" borderId="0" xfId="0" applyFont="1" applyAlignment="1">
      <alignment horizontal="left" wrapText="1"/>
    </xf>
    <xf numFmtId="0" fontId="28" fillId="9" borderId="2" xfId="0" applyFont="1" applyFill="1" applyBorder="1" applyAlignment="1">
      <alignment horizontal="left" vertical="center" wrapText="1"/>
    </xf>
    <xf numFmtId="165" fontId="28" fillId="9" borderId="9" xfId="5" applyNumberFormat="1" applyFont="1" applyFill="1" applyBorder="1"/>
    <xf numFmtId="165" fontId="33" fillId="9" borderId="9" xfId="5" applyNumberFormat="1" applyFont="1" applyFill="1" applyBorder="1"/>
    <xf numFmtId="0" fontId="24" fillId="0" borderId="10" xfId="0" applyFont="1" applyBorder="1"/>
    <xf numFmtId="0" fontId="24" fillId="0" borderId="10" xfId="0" applyFont="1" applyFill="1" applyBorder="1"/>
    <xf numFmtId="0" fontId="24" fillId="0" borderId="10" xfId="0" applyFont="1" applyBorder="1" applyAlignment="1">
      <alignment horizontal="center"/>
    </xf>
    <xf numFmtId="0" fontId="24" fillId="0" borderId="10" xfId="0" applyFont="1" applyBorder="1" applyAlignment="1">
      <alignment horizontal="left" vertical="center" wrapText="1"/>
    </xf>
    <xf numFmtId="165" fontId="26" fillId="8" borderId="6" xfId="5" applyNumberFormat="1" applyFont="1" applyFill="1" applyBorder="1" applyProtection="1">
      <protection locked="0"/>
    </xf>
    <xf numFmtId="165" fontId="28" fillId="7" borderId="11" xfId="5" applyNumberFormat="1" applyFont="1" applyFill="1" applyBorder="1"/>
    <xf numFmtId="165" fontId="33" fillId="9" borderId="2" xfId="5" applyNumberFormat="1" applyFont="1" applyFill="1" applyBorder="1"/>
    <xf numFmtId="165" fontId="30" fillId="8" borderId="8" xfId="5" applyNumberFormat="1" applyFont="1" applyFill="1" applyBorder="1" applyProtection="1">
      <protection locked="0"/>
    </xf>
    <xf numFmtId="165" fontId="24" fillId="7" borderId="8" xfId="5" applyNumberFormat="1" applyFont="1" applyFill="1" applyBorder="1" applyProtection="1">
      <protection locked="0"/>
    </xf>
    <xf numFmtId="0" fontId="28" fillId="9" borderId="10" xfId="0" applyFont="1" applyFill="1" applyBorder="1"/>
    <xf numFmtId="0" fontId="28" fillId="9" borderId="10" xfId="0" applyFont="1" applyFill="1" applyBorder="1" applyAlignment="1">
      <alignment horizontal="center"/>
    </xf>
    <xf numFmtId="0" fontId="29" fillId="9" borderId="10" xfId="0" applyFont="1" applyFill="1" applyBorder="1" applyAlignment="1">
      <alignment horizontal="right" vertical="center" wrapText="1"/>
    </xf>
    <xf numFmtId="165" fontId="28" fillId="9" borderId="11" xfId="5" applyNumberFormat="1" applyFont="1" applyFill="1" applyBorder="1"/>
    <xf numFmtId="165" fontId="29" fillId="9" borderId="11" xfId="5" applyNumberFormat="1" applyFont="1" applyFill="1" applyBorder="1"/>
    <xf numFmtId="0" fontId="34" fillId="0" borderId="0" xfId="0" applyFont="1" applyAlignment="1">
      <alignment wrapText="1"/>
    </xf>
    <xf numFmtId="0" fontId="24" fillId="0" borderId="2" xfId="0" applyFont="1" applyBorder="1" applyAlignment="1" applyProtection="1">
      <alignment horizontal="left" vertical="center" wrapText="1"/>
    </xf>
    <xf numFmtId="165" fontId="28" fillId="9" borderId="2" xfId="5" applyNumberFormat="1" applyFont="1" applyFill="1" applyBorder="1" applyProtection="1">
      <protection locked="0"/>
    </xf>
    <xf numFmtId="165" fontId="31" fillId="9" borderId="2" xfId="5" applyNumberFormat="1" applyFont="1" applyFill="1" applyBorder="1" applyProtection="1">
      <protection locked="0"/>
    </xf>
    <xf numFmtId="165" fontId="29" fillId="9" borderId="2" xfId="5" applyNumberFormat="1" applyFont="1" applyFill="1" applyBorder="1" applyProtection="1">
      <protection locked="0"/>
    </xf>
    <xf numFmtId="165" fontId="28" fillId="7" borderId="2" xfId="5" applyNumberFormat="1" applyFont="1" applyFill="1" applyBorder="1" applyProtection="1">
      <protection locked="0"/>
    </xf>
    <xf numFmtId="165" fontId="28" fillId="11" borderId="2" xfId="5" applyNumberFormat="1" applyFont="1" applyFill="1" applyBorder="1" applyProtection="1">
      <protection locked="0"/>
    </xf>
    <xf numFmtId="0" fontId="28" fillId="9" borderId="2" xfId="0" applyFont="1" applyFill="1" applyBorder="1" applyAlignment="1">
      <alignment vertical="center" wrapText="1"/>
    </xf>
    <xf numFmtId="0" fontId="28" fillId="9" borderId="2" xfId="0" applyFont="1" applyFill="1" applyBorder="1" applyAlignment="1">
      <alignment vertical="center"/>
    </xf>
    <xf numFmtId="165" fontId="28" fillId="9" borderId="8" xfId="5" applyNumberFormat="1" applyFont="1" applyFill="1" applyBorder="1" applyProtection="1">
      <protection locked="0"/>
    </xf>
    <xf numFmtId="165" fontId="29" fillId="9" borderId="8" xfId="5" applyNumberFormat="1" applyFont="1" applyFill="1" applyBorder="1" applyProtection="1">
      <protection locked="0"/>
    </xf>
    <xf numFmtId="165" fontId="28" fillId="7" borderId="8" xfId="5" applyNumberFormat="1" applyFont="1" applyFill="1" applyBorder="1" applyProtection="1">
      <protection locked="0"/>
    </xf>
    <xf numFmtId="0" fontId="35" fillId="9" borderId="2" xfId="0" applyFont="1" applyFill="1" applyBorder="1"/>
    <xf numFmtId="165" fontId="31" fillId="9" borderId="8" xfId="5" applyNumberFormat="1" applyFont="1" applyFill="1" applyBorder="1" applyProtection="1">
      <protection locked="0"/>
    </xf>
    <xf numFmtId="0" fontId="36" fillId="0" borderId="2" xfId="0" applyFont="1" applyBorder="1"/>
    <xf numFmtId="0" fontId="36" fillId="9" borderId="2" xfId="0" applyFont="1" applyFill="1" applyBorder="1"/>
    <xf numFmtId="0" fontId="24" fillId="9" borderId="2" xfId="0" applyFont="1" applyFill="1" applyBorder="1"/>
    <xf numFmtId="0" fontId="24" fillId="9" borderId="2" xfId="0" applyFont="1" applyFill="1" applyBorder="1" applyAlignment="1">
      <alignment horizontal="left" vertical="center" wrapText="1"/>
    </xf>
    <xf numFmtId="0" fontId="37" fillId="0" borderId="0" xfId="0" applyFont="1" applyAlignment="1">
      <alignment vertical="top" wrapText="1"/>
    </xf>
    <xf numFmtId="0" fontId="38" fillId="0" borderId="0" xfId="0" applyFont="1"/>
    <xf numFmtId="0" fontId="40" fillId="0" borderId="0" xfId="0" applyFont="1"/>
    <xf numFmtId="0" fontId="41" fillId="0" borderId="0" xfId="0" applyFont="1"/>
    <xf numFmtId="0" fontId="24" fillId="12" borderId="2" xfId="0" applyFont="1" applyFill="1" applyBorder="1"/>
    <xf numFmtId="0" fontId="36" fillId="12" borderId="2" xfId="0" applyFont="1" applyFill="1" applyBorder="1"/>
    <xf numFmtId="0" fontId="28" fillId="12" borderId="2" xfId="0" applyFont="1" applyFill="1" applyBorder="1"/>
    <xf numFmtId="0" fontId="28" fillId="12" borderId="2" xfId="0" applyFont="1" applyFill="1" applyBorder="1" applyAlignment="1">
      <alignment horizontal="center"/>
    </xf>
    <xf numFmtId="0" fontId="28" fillId="12" borderId="2" xfId="0" applyFont="1" applyFill="1" applyBorder="1" applyAlignment="1">
      <alignment horizontal="left" vertical="center" wrapText="1"/>
    </xf>
    <xf numFmtId="165" fontId="31" fillId="12" borderId="8" xfId="5" applyNumberFormat="1" applyFont="1" applyFill="1" applyBorder="1" applyProtection="1">
      <protection locked="0"/>
    </xf>
    <xf numFmtId="165" fontId="28" fillId="12" borderId="8" xfId="5" applyNumberFormat="1" applyFont="1" applyFill="1" applyBorder="1" applyProtection="1">
      <protection locked="0"/>
    </xf>
    <xf numFmtId="165" fontId="29" fillId="12" borderId="8" xfId="5" applyNumberFormat="1" applyFont="1" applyFill="1" applyBorder="1" applyProtection="1">
      <protection locked="0"/>
    </xf>
    <xf numFmtId="0" fontId="39" fillId="13" borderId="0" xfId="0" applyFont="1" applyFill="1"/>
    <xf numFmtId="0" fontId="36" fillId="10" borderId="2" xfId="0" applyFont="1" applyFill="1" applyBorder="1"/>
    <xf numFmtId="165" fontId="31" fillId="12" borderId="2" xfId="5" applyNumberFormat="1" applyFont="1" applyFill="1" applyBorder="1" applyProtection="1">
      <protection locked="0"/>
    </xf>
    <xf numFmtId="165" fontId="28" fillId="12" borderId="2" xfId="5" applyNumberFormat="1" applyFont="1" applyFill="1" applyBorder="1" applyProtection="1">
      <protection locked="0"/>
    </xf>
    <xf numFmtId="165" fontId="29" fillId="12" borderId="2" xfId="5" applyNumberFormat="1" applyFont="1" applyFill="1" applyBorder="1" applyProtection="1">
      <protection locked="0"/>
    </xf>
    <xf numFmtId="0" fontId="42" fillId="0" borderId="0" xfId="0" applyFont="1"/>
    <xf numFmtId="0" fontId="24" fillId="0" borderId="2" xfId="0" applyFont="1" applyBorder="1" applyAlignment="1">
      <alignment horizontal="left"/>
    </xf>
    <xf numFmtId="165" fontId="35" fillId="9" borderId="8" xfId="5" applyNumberFormat="1" applyFont="1" applyFill="1" applyBorder="1" applyProtection="1">
      <protection locked="0"/>
    </xf>
    <xf numFmtId="165" fontId="33" fillId="9" borderId="8" xfId="5" applyNumberFormat="1" applyFont="1" applyFill="1" applyBorder="1" applyProtection="1">
      <protection locked="0"/>
    </xf>
    <xf numFmtId="165" fontId="28" fillId="14" borderId="8" xfId="5" applyNumberFormat="1" applyFont="1" applyFill="1" applyBorder="1" applyProtection="1">
      <protection locked="0"/>
    </xf>
    <xf numFmtId="0" fontId="28" fillId="9" borderId="2" xfId="0" applyFont="1" applyFill="1" applyBorder="1" applyAlignment="1">
      <alignment horizontal="left" wrapText="1"/>
    </xf>
    <xf numFmtId="0" fontId="24" fillId="0" borderId="2" xfId="0" applyFont="1" applyFill="1" applyBorder="1" applyAlignment="1">
      <alignment horizontal="center"/>
    </xf>
    <xf numFmtId="0" fontId="24" fillId="0" borderId="2" xfId="0" applyFont="1" applyFill="1" applyBorder="1" applyAlignment="1">
      <alignment horizontal="left" vertical="center" wrapText="1"/>
    </xf>
    <xf numFmtId="165" fontId="33" fillId="9" borderId="2" xfId="5" applyNumberFormat="1" applyFont="1" applyFill="1" applyBorder="1" applyProtection="1">
      <protection locked="0"/>
    </xf>
    <xf numFmtId="165" fontId="28" fillId="14" borderId="2" xfId="5" applyNumberFormat="1" applyFont="1" applyFill="1" applyBorder="1" applyProtection="1">
      <protection locked="0"/>
    </xf>
    <xf numFmtId="0" fontId="44" fillId="9" borderId="2" xfId="0" applyFont="1" applyFill="1" applyBorder="1" applyAlignment="1">
      <alignment horizontal="left" vertical="center" wrapText="1"/>
    </xf>
    <xf numFmtId="0" fontId="0" fillId="13" borderId="0" xfId="0" applyFill="1"/>
    <xf numFmtId="0" fontId="28" fillId="12" borderId="2" xfId="0" applyFont="1" applyFill="1" applyBorder="1" applyAlignment="1">
      <alignment horizontal="left" vertical="center"/>
    </xf>
    <xf numFmtId="0" fontId="45" fillId="0" borderId="0" xfId="0" applyFont="1" applyAlignment="1">
      <alignment wrapText="1"/>
    </xf>
    <xf numFmtId="0" fontId="46" fillId="0" borderId="0" xfId="0" applyFont="1" applyAlignment="1">
      <alignment vertical="top"/>
    </xf>
    <xf numFmtId="165" fontId="28" fillId="9" borderId="12" xfId="5" applyNumberFormat="1" applyFont="1" applyFill="1" applyBorder="1" applyProtection="1">
      <protection locked="0"/>
    </xf>
    <xf numFmtId="0" fontId="46" fillId="13" borderId="2" xfId="0" applyFont="1" applyFill="1" applyBorder="1" applyAlignment="1">
      <alignment wrapText="1"/>
    </xf>
    <xf numFmtId="0" fontId="46" fillId="0" borderId="2" xfId="0" applyFont="1" applyBorder="1" applyAlignment="1">
      <alignment wrapText="1"/>
    </xf>
    <xf numFmtId="0" fontId="49" fillId="0" borderId="0" xfId="0" applyFont="1"/>
    <xf numFmtId="165" fontId="28" fillId="11" borderId="8" xfId="5" applyNumberFormat="1" applyFont="1" applyFill="1" applyBorder="1" applyProtection="1">
      <protection locked="0"/>
    </xf>
    <xf numFmtId="0" fontId="38" fillId="0" borderId="0" xfId="0" applyFont="1" applyAlignment="1">
      <alignment wrapText="1"/>
    </xf>
    <xf numFmtId="0" fontId="13" fillId="0" borderId="0" xfId="0" applyFont="1"/>
    <xf numFmtId="0" fontId="28" fillId="9" borderId="2" xfId="0" applyFont="1" applyFill="1" applyBorder="1" applyAlignment="1">
      <alignment horizontal="right" vertical="center" wrapText="1"/>
    </xf>
    <xf numFmtId="0" fontId="28" fillId="9" borderId="0" xfId="0" applyFont="1" applyFill="1" applyAlignment="1">
      <alignment vertical="center"/>
    </xf>
    <xf numFmtId="165" fontId="50" fillId="9" borderId="2" xfId="5" applyNumberFormat="1" applyFont="1" applyFill="1" applyBorder="1" applyAlignment="1" applyProtection="1">
      <alignment horizontal="right"/>
      <protection locked="0"/>
    </xf>
    <xf numFmtId="0" fontId="37" fillId="0" borderId="0" xfId="0" applyFont="1"/>
    <xf numFmtId="165" fontId="30" fillId="7" borderId="8" xfId="5" applyNumberFormat="1" applyFont="1" applyFill="1" applyBorder="1" applyProtection="1">
      <protection locked="0"/>
    </xf>
    <xf numFmtId="0" fontId="29" fillId="9" borderId="2" xfId="0" applyFont="1" applyFill="1" applyBorder="1" applyAlignment="1">
      <alignment horizontal="left" vertical="center"/>
    </xf>
    <xf numFmtId="165" fontId="28" fillId="9" borderId="2" xfId="5" applyNumberFormat="1" applyFont="1" applyFill="1" applyBorder="1" applyAlignment="1" applyProtection="1">
      <alignment horizontal="right"/>
      <protection locked="0"/>
    </xf>
    <xf numFmtId="165" fontId="28" fillId="9" borderId="8" xfId="5" applyNumberFormat="1" applyFont="1" applyFill="1" applyBorder="1" applyAlignment="1" applyProtection="1">
      <alignment horizontal="right"/>
      <protection locked="0"/>
    </xf>
    <xf numFmtId="0" fontId="49" fillId="0" borderId="0" xfId="0" applyFont="1" applyAlignment="1"/>
    <xf numFmtId="0" fontId="0" fillId="0" borderId="0" xfId="0" applyFont="1" applyAlignment="1">
      <alignment horizontal="left"/>
    </xf>
    <xf numFmtId="0" fontId="51" fillId="0" borderId="0" xfId="0" applyFont="1"/>
    <xf numFmtId="0" fontId="27" fillId="0" borderId="0" xfId="1" applyNumberFormat="1" applyFont="1"/>
    <xf numFmtId="0" fontId="52" fillId="0" borderId="0" xfId="0" applyFont="1"/>
    <xf numFmtId="0" fontId="53" fillId="0" borderId="0" xfId="0" applyFont="1"/>
    <xf numFmtId="0" fontId="49" fillId="7" borderId="0" xfId="0" applyFont="1" applyFill="1"/>
    <xf numFmtId="165" fontId="49" fillId="0" borderId="0" xfId="1" applyNumberFormat="1" applyFont="1"/>
    <xf numFmtId="0" fontId="30" fillId="0" borderId="0" xfId="0" applyFont="1" applyAlignment="1">
      <alignment wrapText="1"/>
    </xf>
    <xf numFmtId="165" fontId="57" fillId="0" borderId="2" xfId="3" applyNumberFormat="1" applyFont="1" applyFill="1" applyBorder="1" applyAlignment="1" applyProtection="1">
      <alignment horizontal="center" vertical="center" wrapText="1"/>
    </xf>
    <xf numFmtId="165" fontId="17" fillId="7" borderId="2" xfId="3" applyNumberFormat="1" applyFont="1" applyFill="1" applyBorder="1" applyAlignment="1" applyProtection="1">
      <alignment horizontal="center" vertical="center" wrapText="1"/>
    </xf>
    <xf numFmtId="165" fontId="58" fillId="0" borderId="2" xfId="3" applyNumberFormat="1" applyFont="1" applyFill="1" applyBorder="1" applyAlignment="1" applyProtection="1">
      <alignment horizontal="center" vertical="center" wrapText="1"/>
    </xf>
    <xf numFmtId="165" fontId="17" fillId="0" borderId="2" xfId="3" applyNumberFormat="1" applyFont="1" applyFill="1" applyBorder="1" applyAlignment="1" applyProtection="1">
      <alignment horizontal="center" vertical="center" wrapText="1"/>
    </xf>
    <xf numFmtId="0" fontId="34" fillId="0" borderId="0" xfId="0" applyFont="1"/>
    <xf numFmtId="0" fontId="34" fillId="0" borderId="2" xfId="0" applyFont="1" applyBorder="1"/>
    <xf numFmtId="0" fontId="34" fillId="0" borderId="2" xfId="0" applyFont="1" applyBorder="1" applyAlignment="1">
      <alignment horizontal="left" vertical="center" wrapText="1"/>
    </xf>
    <xf numFmtId="165" fontId="24" fillId="8" borderId="13" xfId="6" applyNumberFormat="1" applyFont="1" applyFill="1" applyBorder="1"/>
    <xf numFmtId="165" fontId="26" fillId="8" borderId="13" xfId="6" applyNumberFormat="1" applyFont="1" applyFill="1" applyBorder="1"/>
    <xf numFmtId="165" fontId="34" fillId="7" borderId="2" xfId="3" applyNumberFormat="1" applyFont="1" applyFill="1" applyBorder="1" applyProtection="1">
      <protection locked="0"/>
    </xf>
    <xf numFmtId="0" fontId="59" fillId="0" borderId="0" xfId="0" applyFont="1" applyFill="1"/>
    <xf numFmtId="0" fontId="59" fillId="9" borderId="2" xfId="0" applyFont="1" applyFill="1" applyBorder="1"/>
    <xf numFmtId="0" fontId="59" fillId="9" borderId="2" xfId="0" applyFont="1" applyFill="1" applyBorder="1" applyAlignment="1">
      <alignment horizontal="left" vertical="center" wrapText="1"/>
    </xf>
    <xf numFmtId="165" fontId="28" fillId="9" borderId="2" xfId="6" applyNumberFormat="1" applyFont="1" applyFill="1" applyBorder="1"/>
    <xf numFmtId="165" fontId="29" fillId="9" borderId="2" xfId="6" applyNumberFormat="1" applyFont="1" applyFill="1" applyBorder="1"/>
    <xf numFmtId="165" fontId="59" fillId="7" borderId="2" xfId="3" applyNumberFormat="1" applyFont="1" applyFill="1" applyBorder="1" applyProtection="1">
      <protection locked="0"/>
    </xf>
    <xf numFmtId="0" fontId="31" fillId="9" borderId="0" xfId="0" applyFont="1" applyFill="1" applyAlignment="1">
      <alignment wrapText="1"/>
    </xf>
    <xf numFmtId="0" fontId="31" fillId="9" borderId="0" xfId="0" applyFont="1" applyFill="1"/>
    <xf numFmtId="0" fontId="34" fillId="0" borderId="0" xfId="0" applyFont="1" applyFill="1"/>
    <xf numFmtId="0" fontId="59" fillId="9" borderId="0" xfId="0" applyFont="1" applyFill="1"/>
    <xf numFmtId="165" fontId="24" fillId="8" borderId="13" xfId="3" applyNumberFormat="1" applyFont="1" applyFill="1" applyBorder="1"/>
    <xf numFmtId="165" fontId="26" fillId="8" borderId="13" xfId="3" applyNumberFormat="1" applyFont="1" applyFill="1" applyBorder="1"/>
    <xf numFmtId="165" fontId="34" fillId="7" borderId="13" xfId="3" applyNumberFormat="1" applyFont="1" applyFill="1" applyBorder="1"/>
    <xf numFmtId="165" fontId="28" fillId="9" borderId="2" xfId="3" applyNumberFormat="1" applyFont="1" applyFill="1" applyBorder="1"/>
    <xf numFmtId="165" fontId="29" fillId="9" borderId="2" xfId="3" applyNumberFormat="1" applyFont="1" applyFill="1" applyBorder="1"/>
    <xf numFmtId="165" fontId="59" fillId="7" borderId="2" xfId="3" applyNumberFormat="1" applyFont="1" applyFill="1" applyBorder="1"/>
    <xf numFmtId="165" fontId="28" fillId="9" borderId="13" xfId="3" applyNumberFormat="1" applyFont="1" applyFill="1" applyBorder="1"/>
    <xf numFmtId="165" fontId="29" fillId="9" borderId="13" xfId="3" applyNumberFormat="1" applyFont="1" applyFill="1" applyBorder="1"/>
    <xf numFmtId="0" fontId="34" fillId="0" borderId="2" xfId="0" applyFont="1" applyFill="1" applyBorder="1"/>
    <xf numFmtId="165" fontId="60" fillId="9" borderId="13" xfId="3" applyNumberFormat="1" applyFont="1" applyFill="1" applyBorder="1"/>
    <xf numFmtId="165" fontId="28" fillId="9" borderId="13" xfId="6" applyNumberFormat="1" applyFont="1" applyFill="1" applyBorder="1"/>
    <xf numFmtId="165" fontId="29" fillId="9" borderId="13" xfId="6" applyNumberFormat="1" applyFont="1" applyFill="1" applyBorder="1"/>
    <xf numFmtId="0" fontId="59" fillId="9" borderId="0" xfId="0" applyFont="1" applyFill="1" applyAlignment="1">
      <alignment wrapText="1"/>
    </xf>
    <xf numFmtId="0" fontId="34" fillId="0" borderId="2" xfId="0" applyFont="1" applyFill="1" applyBorder="1" applyAlignment="1">
      <alignment horizontal="left" vertical="center" wrapText="1"/>
    </xf>
    <xf numFmtId="165" fontId="60" fillId="9" borderId="13" xfId="6" applyNumberFormat="1" applyFont="1" applyFill="1" applyBorder="1"/>
    <xf numFmtId="165" fontId="28" fillId="9" borderId="13" xfId="6" applyNumberFormat="1" applyFont="1" applyFill="1" applyBorder="1" applyAlignment="1">
      <alignment wrapText="1"/>
    </xf>
    <xf numFmtId="0" fontId="18" fillId="0" borderId="2" xfId="0" applyFont="1" applyBorder="1"/>
    <xf numFmtId="0" fontId="17" fillId="0" borderId="2" xfId="0" applyFont="1" applyBorder="1"/>
    <xf numFmtId="165" fontId="18" fillId="0" borderId="2" xfId="0" applyNumberFormat="1" applyFont="1" applyBorder="1"/>
    <xf numFmtId="0" fontId="18" fillId="0" borderId="0" xfId="0" applyFont="1"/>
    <xf numFmtId="165" fontId="34" fillId="0" borderId="0" xfId="0" applyNumberFormat="1" applyFont="1" applyFill="1"/>
    <xf numFmtId="165" fontId="34" fillId="10" borderId="0" xfId="0" applyNumberFormat="1" applyFont="1" applyFill="1"/>
    <xf numFmtId="165" fontId="34" fillId="0" borderId="0" xfId="0" applyNumberFormat="1" applyFont="1"/>
    <xf numFmtId="43" fontId="0" fillId="4" borderId="0" xfId="0" applyNumberFormat="1" applyFill="1"/>
    <xf numFmtId="0" fontId="8" fillId="0" borderId="0" xfId="0" applyFont="1" applyAlignment="1">
      <alignment horizontal="left"/>
    </xf>
    <xf numFmtId="0" fontId="21" fillId="0" borderId="16" xfId="8" applyFont="1" applyBorder="1" applyAlignment="1">
      <alignment horizontal="center" vertical="center" wrapText="1"/>
    </xf>
    <xf numFmtId="166" fontId="21" fillId="0" borderId="17" xfId="8" applyNumberFormat="1" applyFont="1" applyBorder="1" applyAlignment="1">
      <alignment horizontal="center" vertical="center"/>
    </xf>
    <xf numFmtId="165" fontId="21" fillId="0" borderId="16" xfId="1" applyNumberFormat="1" applyFont="1" applyBorder="1" applyAlignment="1">
      <alignment horizontal="center" vertical="center" wrapText="1"/>
    </xf>
    <xf numFmtId="165" fontId="21" fillId="0" borderId="17" xfId="1" applyNumberFormat="1" applyFont="1" applyBorder="1" applyAlignment="1">
      <alignment horizontal="center" vertical="center"/>
    </xf>
    <xf numFmtId="0" fontId="8" fillId="0" borderId="0" xfId="0" applyFont="1" applyAlignment="1">
      <alignment horizontal="left"/>
    </xf>
    <xf numFmtId="0" fontId="61" fillId="0" borderId="0" xfId="0" applyFont="1" applyAlignment="1">
      <alignment wrapText="1"/>
    </xf>
    <xf numFmtId="0" fontId="61" fillId="0" borderId="0" xfId="0" applyFont="1" applyAlignment="1"/>
    <xf numFmtId="165" fontId="61" fillId="15" borderId="0" xfId="1" applyNumberFormat="1" applyFont="1" applyFill="1"/>
    <xf numFmtId="0" fontId="8" fillId="0" borderId="0" xfId="0" applyFont="1" applyAlignment="1">
      <alignment horizontal="left"/>
    </xf>
    <xf numFmtId="0" fontId="62" fillId="0" borderId="0" xfId="0" applyFont="1"/>
    <xf numFmtId="165" fontId="62" fillId="0" borderId="0" xfId="1" applyNumberFormat="1" applyFont="1" applyAlignment="1">
      <alignment horizontal="left"/>
    </xf>
    <xf numFmtId="0" fontId="63" fillId="0" borderId="0" xfId="0" applyFont="1" applyAlignment="1">
      <alignment horizontal="left"/>
    </xf>
    <xf numFmtId="165" fontId="8" fillId="0" borderId="0" xfId="0" applyNumberFormat="1" applyFont="1" applyAlignment="1">
      <alignment horizontal="left"/>
    </xf>
    <xf numFmtId="0" fontId="64" fillId="0" borderId="0" xfId="4" applyFont="1" applyAlignment="1">
      <alignment horizontal="center"/>
    </xf>
    <xf numFmtId="0" fontId="65" fillId="0" borderId="0" xfId="4" applyFont="1"/>
    <xf numFmtId="0" fontId="64" fillId="0" borderId="0" xfId="4" applyFont="1" applyAlignment="1">
      <alignment horizontal="center" vertical="center" wrapText="1"/>
    </xf>
    <xf numFmtId="0" fontId="66" fillId="0" borderId="0" xfId="4" applyFont="1" applyAlignment="1">
      <alignment horizontal="right" vertical="center" wrapText="1"/>
    </xf>
    <xf numFmtId="0" fontId="64" fillId="0" borderId="0" xfId="4" applyFont="1" applyAlignment="1"/>
    <xf numFmtId="0" fontId="64" fillId="5" borderId="0" xfId="4" applyFont="1" applyFill="1" applyAlignment="1">
      <alignment horizontal="center"/>
    </xf>
    <xf numFmtId="0" fontId="65" fillId="0" borderId="0" xfId="4" applyFont="1" applyAlignment="1">
      <alignment horizontal="center"/>
    </xf>
    <xf numFmtId="0" fontId="8" fillId="0" borderId="0" xfId="0" applyFont="1" applyAlignment="1">
      <alignment horizontal="left"/>
    </xf>
    <xf numFmtId="0" fontId="21" fillId="0" borderId="14" xfId="7" applyFont="1" applyBorder="1" applyAlignment="1">
      <alignment horizontal="left" vertical="center" wrapText="1"/>
    </xf>
    <xf numFmtId="0" fontId="21" fillId="0" borderId="15" xfId="7" applyFont="1" applyBorder="1" applyAlignment="1">
      <alignment horizontal="left" vertical="center" wrapText="1"/>
    </xf>
    <xf numFmtId="0" fontId="23" fillId="0" borderId="6" xfId="7" applyFont="1" applyBorder="1" applyAlignment="1">
      <alignment horizontal="center" vertical="center" wrapText="1"/>
    </xf>
    <xf numFmtId="0" fontId="23" fillId="0" borderId="15" xfId="7" applyFont="1" applyBorder="1" applyAlignment="1">
      <alignment horizontal="center" vertical="center" wrapText="1"/>
    </xf>
    <xf numFmtId="0" fontId="64" fillId="0" borderId="0" xfId="4" applyFont="1" applyAlignment="1">
      <alignment horizontal="center" vertical="center" wrapText="1"/>
    </xf>
    <xf numFmtId="0" fontId="6" fillId="0" borderId="0" xfId="0" applyFont="1" applyFill="1" applyAlignment="1">
      <alignment horizontal="left" vertical="center" indent="1"/>
    </xf>
    <xf numFmtId="0" fontId="6" fillId="0" borderId="0" xfId="0" applyFont="1" applyAlignment="1">
      <alignment horizontal="left" vertical="center" wrapText="1"/>
    </xf>
    <xf numFmtId="0" fontId="64" fillId="5" borderId="0" xfId="4" applyFont="1" applyFill="1" applyAlignment="1">
      <alignment horizontal="center"/>
    </xf>
    <xf numFmtId="0" fontId="64" fillId="0" borderId="0" xfId="4" applyFont="1" applyAlignment="1">
      <alignment horizontal="center"/>
    </xf>
    <xf numFmtId="0" fontId="67" fillId="0" borderId="0" xfId="4" applyFont="1" applyAlignment="1">
      <alignment horizontal="center"/>
    </xf>
    <xf numFmtId="0" fontId="67" fillId="0" borderId="0" xfId="4" applyFont="1" applyAlignment="1">
      <alignment horizontal="center" vertical="center" wrapText="1"/>
    </xf>
    <xf numFmtId="0" fontId="67" fillId="5" borderId="0" xfId="4" applyFont="1" applyFill="1" applyAlignment="1">
      <alignment horizontal="center"/>
    </xf>
    <xf numFmtId="0" fontId="68" fillId="0" borderId="0" xfId="0" applyFont="1"/>
    <xf numFmtId="0" fontId="67" fillId="0" borderId="0" xfId="4" applyFont="1" applyAlignment="1"/>
    <xf numFmtId="0" fontId="67" fillId="5" borderId="0" xfId="4" applyFont="1" applyFill="1" applyAlignment="1">
      <alignment horizontal="center"/>
    </xf>
    <xf numFmtId="0" fontId="66" fillId="0" borderId="0" xfId="4" applyFont="1" applyAlignment="1">
      <alignment horizontal="center"/>
    </xf>
    <xf numFmtId="0" fontId="67" fillId="0" borderId="0" xfId="4" applyFont="1" applyAlignment="1">
      <alignment horizontal="center"/>
    </xf>
  </cellXfs>
  <cellStyles count="9">
    <cellStyle name="Comma" xfId="1" xr:uid="{00000000-0005-0000-0000-000000000000}"/>
    <cellStyle name="Komats 13" xfId="5" xr:uid="{00000000-0005-0000-0000-000001000000}"/>
    <cellStyle name="Komats 20" xfId="3" xr:uid="{00000000-0005-0000-0000-000002000000}"/>
    <cellStyle name="Komats 6" xfId="6" xr:uid="{00000000-0005-0000-0000-000003000000}"/>
    <cellStyle name="Normal" xfId="0" builtinId="0"/>
    <cellStyle name="Normal 2 2" xfId="7" xr:uid="{00000000-0005-0000-0000-000004000000}"/>
    <cellStyle name="Parasts 2" xfId="8" xr:uid="{00000000-0005-0000-0000-000006000000}"/>
    <cellStyle name="Parasts 7" xfId="4" xr:uid="{00000000-0005-0000-0000-000007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olotajs/Desktop/2022_gads/Budzets/2022/1_Budzets_2022_10_2021_11012022_09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KOLOT~1/AppData/Local/Temp/BUDZETS_2022_precizets_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Algas_2022"/>
    </sheetNames>
    <sheetDataSet>
      <sheetData sheetId="0"/>
      <sheetData sheetId="1">
        <row r="76">
          <cell r="C76">
            <v>522769.68000000005</v>
          </cell>
        </row>
        <row r="77">
          <cell r="C77">
            <v>27891.120000000003</v>
          </cell>
        </row>
        <row r="80">
          <cell r="C80">
            <v>114247.93440000001</v>
          </cell>
        </row>
        <row r="82">
          <cell r="C82">
            <v>147298.805606398</v>
          </cell>
        </row>
        <row r="83">
          <cell r="C83">
            <v>7592.5152080000007</v>
          </cell>
        </row>
        <row r="84">
          <cell r="C84">
            <v>1960.6496305620001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ņēmumi"/>
      <sheetName val="064_111+112+113+114"/>
      <sheetName val="064_111"/>
      <sheetName val="064_112"/>
      <sheetName val="064_113"/>
      <sheetName val="064_114"/>
      <sheetName val="064_02+03+04"/>
      <sheetName val="064_02"/>
      <sheetName val="064_03"/>
      <sheetName val="064_04"/>
      <sheetName val="INFRASTRUKTURA"/>
      <sheetName val="Projekts"/>
      <sheetName val="DRN_Ceļu fonds"/>
      <sheetName val="Algas_064_111"/>
      <sheetName val="Algas_064_112"/>
      <sheetName val="Algas_064_113"/>
      <sheetName val="Algas_064_114"/>
      <sheetName val="Algas_064_02"/>
      <sheetName val="Algas_064_03"/>
      <sheetName val="Algas_064_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5">
          <cell r="C35">
            <v>57600</v>
          </cell>
        </row>
        <row r="37">
          <cell r="C37">
            <v>750</v>
          </cell>
        </row>
        <row r="38">
          <cell r="C38">
            <v>4050</v>
          </cell>
        </row>
        <row r="41">
          <cell r="C41">
            <v>15286.32</v>
          </cell>
        </row>
        <row r="42">
          <cell r="C42">
            <v>2400</v>
          </cell>
        </row>
        <row r="43">
          <cell r="C43">
            <v>720</v>
          </cell>
        </row>
      </sheetData>
      <sheetData sheetId="16"/>
      <sheetData sheetId="17"/>
      <sheetData sheetId="18"/>
      <sheetData sheetId="19"/>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105"/>
  <sheetViews>
    <sheetView zoomScaleNormal="100" workbookViewId="0">
      <selection activeCell="B1" sqref="A1:D4"/>
    </sheetView>
  </sheetViews>
  <sheetFormatPr defaultRowHeight="14.4" x14ac:dyDescent="0.3"/>
  <cols>
    <col min="1" max="1" width="14.88671875" customWidth="1"/>
    <col min="2" max="2" width="12.88671875" bestFit="1" customWidth="1"/>
    <col min="3" max="3" width="10.44140625" bestFit="1" customWidth="1"/>
    <col min="4" max="4" width="54.5546875" customWidth="1"/>
    <col min="11" max="11" width="13" customWidth="1"/>
    <col min="12" max="13" width="9.33203125" bestFit="1" customWidth="1"/>
  </cols>
  <sheetData>
    <row r="1" spans="1:15" ht="15.6" x14ac:dyDescent="0.3">
      <c r="A1" s="263"/>
      <c r="B1" s="264" t="s">
        <v>356</v>
      </c>
      <c r="C1" s="264"/>
      <c r="D1" s="264"/>
    </row>
    <row r="2" spans="1:15" ht="15.6" x14ac:dyDescent="0.3">
      <c r="A2" s="261" t="s">
        <v>357</v>
      </c>
      <c r="B2" s="261"/>
      <c r="C2" s="261"/>
      <c r="D2" s="261"/>
    </row>
    <row r="3" spans="1:15" ht="15.6" x14ac:dyDescent="0.3">
      <c r="A3" s="263"/>
      <c r="B3" s="264"/>
      <c r="C3" s="265" t="s">
        <v>360</v>
      </c>
      <c r="D3" s="264"/>
    </row>
    <row r="4" spans="1:15" ht="15.6" x14ac:dyDescent="0.3">
      <c r="A4" s="263"/>
      <c r="B4" s="266"/>
      <c r="C4" s="267" t="s">
        <v>359</v>
      </c>
      <c r="D4" s="266"/>
    </row>
    <row r="5" spans="1:15" x14ac:dyDescent="0.3">
      <c r="C5" s="2"/>
      <c r="D5" s="2"/>
      <c r="E5" s="2"/>
      <c r="K5" s="3" t="s">
        <v>0</v>
      </c>
      <c r="L5" s="4" t="s">
        <v>337</v>
      </c>
      <c r="M5" t="s">
        <v>339</v>
      </c>
      <c r="O5" s="5"/>
    </row>
    <row r="6" spans="1:15" ht="15" thickBot="1" x14ac:dyDescent="0.35">
      <c r="B6" s="6">
        <f>((A17/B9+B13)*B11+B15)/12</f>
        <v>167.00176208792416</v>
      </c>
      <c r="C6" s="7" t="s">
        <v>1</v>
      </c>
      <c r="D6" s="8" t="s">
        <v>351</v>
      </c>
      <c r="E6" s="256" t="s">
        <v>2</v>
      </c>
      <c r="H6" s="9" t="s">
        <v>3</v>
      </c>
      <c r="I6" s="10">
        <f>B6/B11</f>
        <v>7.0943824166492853</v>
      </c>
      <c r="K6" s="11">
        <f>I6*B11</f>
        <v>167.00176208792416</v>
      </c>
      <c r="L6" s="12">
        <f>K6/21</f>
        <v>7.9524648613297222</v>
      </c>
      <c r="M6" s="15">
        <f>L6/3</f>
        <v>2.6508216204432409</v>
      </c>
      <c r="O6" s="5"/>
    </row>
    <row r="7" spans="1:15" x14ac:dyDescent="0.3">
      <c r="B7" s="9" t="s">
        <v>4</v>
      </c>
      <c r="C7" s="7"/>
      <c r="D7" s="13">
        <v>12</v>
      </c>
      <c r="E7" s="256"/>
      <c r="H7" s="9" t="s">
        <v>5</v>
      </c>
      <c r="I7" s="14">
        <f>I6*1.21</f>
        <v>8.5842027241456353</v>
      </c>
      <c r="K7" s="11">
        <f>I7*B11</f>
        <v>202.07213212638825</v>
      </c>
      <c r="L7" s="12">
        <f>K7/21</f>
        <v>9.6224824822089641</v>
      </c>
      <c r="M7" s="15">
        <f>L7/3</f>
        <v>3.2074941607363212</v>
      </c>
      <c r="O7" s="5"/>
    </row>
    <row r="8" spans="1:15" x14ac:dyDescent="0.3">
      <c r="C8" s="2"/>
      <c r="D8" s="2"/>
      <c r="E8" s="2"/>
      <c r="K8" s="15"/>
      <c r="O8" s="5"/>
    </row>
    <row r="9" spans="1:15" x14ac:dyDescent="0.3">
      <c r="B9" s="16">
        <v>2401.69</v>
      </c>
      <c r="C9" t="s">
        <v>6</v>
      </c>
      <c r="D9" s="17" t="s">
        <v>7</v>
      </c>
      <c r="O9" s="5"/>
    </row>
    <row r="10" spans="1:15" ht="4.5" customHeight="1" x14ac:dyDescent="0.3">
      <c r="B10" s="18"/>
      <c r="D10" s="17"/>
      <c r="O10" s="5"/>
    </row>
    <row r="11" spans="1:15" x14ac:dyDescent="0.3">
      <c r="A11" s="19">
        <f>B11/B9</f>
        <v>9.8014314919910549E-3</v>
      </c>
      <c r="B11" s="20">
        <v>23.54</v>
      </c>
      <c r="C11" t="s">
        <v>8</v>
      </c>
      <c r="D11" s="21" t="s">
        <v>9</v>
      </c>
      <c r="E11" s="21"/>
      <c r="L11" s="15"/>
    </row>
    <row r="12" spans="1:15" ht="5.25" customHeight="1" x14ac:dyDescent="0.3">
      <c r="B12" s="18"/>
      <c r="D12" s="17"/>
    </row>
    <row r="13" spans="1:15" x14ac:dyDescent="0.3">
      <c r="B13" s="20">
        <f>A57</f>
        <v>0.54299768138981996</v>
      </c>
      <c r="C13" t="s">
        <v>10</v>
      </c>
      <c r="D13" s="21" t="s">
        <v>11</v>
      </c>
    </row>
    <row r="14" spans="1:15" ht="6.75" customHeight="1" x14ac:dyDescent="0.3">
      <c r="C14" s="21"/>
    </row>
    <row r="15" spans="1:15" ht="18.600000000000001" customHeight="1" x14ac:dyDescent="0.3">
      <c r="B15" s="237">
        <v>28</v>
      </c>
      <c r="C15" s="235" t="s">
        <v>349</v>
      </c>
      <c r="D15" s="236" t="s">
        <v>350</v>
      </c>
    </row>
    <row r="16" spans="1:15" ht="6.75" customHeight="1" x14ac:dyDescent="0.3">
      <c r="C16" s="21"/>
    </row>
    <row r="17" spans="1:8" x14ac:dyDescent="0.3">
      <c r="A17" s="20">
        <f>B26+B37+B39+B43+B44+B46</f>
        <v>200301.25</v>
      </c>
      <c r="B17" t="s">
        <v>12</v>
      </c>
      <c r="C17" t="s">
        <v>13</v>
      </c>
    </row>
    <row r="19" spans="1:8" x14ac:dyDescent="0.3">
      <c r="D19" s="17" t="s">
        <v>14</v>
      </c>
    </row>
    <row r="20" spans="1:8" x14ac:dyDescent="0.3">
      <c r="D20" s="22"/>
    </row>
    <row r="21" spans="1:8" x14ac:dyDescent="0.3">
      <c r="D21" t="s">
        <v>53</v>
      </c>
      <c r="H21" t="s">
        <v>53</v>
      </c>
    </row>
    <row r="22" spans="1:8" x14ac:dyDescent="0.3">
      <c r="D22" s="23"/>
    </row>
    <row r="23" spans="1:8" x14ac:dyDescent="0.3">
      <c r="D23" s="24" t="s">
        <v>15</v>
      </c>
    </row>
    <row r="26" spans="1:8" x14ac:dyDescent="0.3">
      <c r="B26" s="20">
        <f>C81+C84</f>
        <v>110534.08</v>
      </c>
      <c r="C26" t="s">
        <v>16</v>
      </c>
      <c r="D26" t="s">
        <v>54</v>
      </c>
    </row>
    <row r="27" spans="1:8" x14ac:dyDescent="0.3">
      <c r="B27" s="18"/>
      <c r="D27" t="s">
        <v>55</v>
      </c>
    </row>
    <row r="28" spans="1:8" x14ac:dyDescent="0.3">
      <c r="B28" s="18"/>
      <c r="D28" t="s">
        <v>56</v>
      </c>
    </row>
    <row r="29" spans="1:8" x14ac:dyDescent="0.3">
      <c r="B29" s="18"/>
      <c r="D29" t="s">
        <v>57</v>
      </c>
    </row>
    <row r="30" spans="1:8" x14ac:dyDescent="0.3">
      <c r="B30" s="18"/>
      <c r="D30" t="s">
        <v>58</v>
      </c>
    </row>
    <row r="31" spans="1:8" x14ac:dyDescent="0.3">
      <c r="B31" s="18"/>
      <c r="D31" t="s">
        <v>59</v>
      </c>
    </row>
    <row r="32" spans="1:8" x14ac:dyDescent="0.3">
      <c r="B32" s="18"/>
      <c r="D32" t="s">
        <v>60</v>
      </c>
    </row>
    <row r="33" spans="2:4" x14ac:dyDescent="0.3">
      <c r="B33" s="18"/>
      <c r="D33" t="s">
        <v>61</v>
      </c>
    </row>
    <row r="34" spans="2:4" x14ac:dyDescent="0.3">
      <c r="B34" s="18"/>
      <c r="D34" t="s">
        <v>62</v>
      </c>
    </row>
    <row r="35" spans="2:4" x14ac:dyDescent="0.3">
      <c r="B35" s="18"/>
      <c r="D35" t="s">
        <v>63</v>
      </c>
    </row>
    <row r="36" spans="2:4" x14ac:dyDescent="0.3">
      <c r="B36" s="18"/>
      <c r="D36" t="s">
        <v>64</v>
      </c>
    </row>
    <row r="37" spans="2:4" x14ac:dyDescent="0.3">
      <c r="B37" s="20">
        <f>C98</f>
        <v>89767.17</v>
      </c>
      <c r="C37" t="s">
        <v>17</v>
      </c>
      <c r="D37" t="s">
        <v>18</v>
      </c>
    </row>
    <row r="38" spans="2:4" x14ac:dyDescent="0.3">
      <c r="B38" s="18"/>
      <c r="D38" t="s">
        <v>19</v>
      </c>
    </row>
    <row r="39" spans="2:4" x14ac:dyDescent="0.3">
      <c r="B39" s="20"/>
      <c r="C39" t="s">
        <v>20</v>
      </c>
      <c r="D39" t="s">
        <v>65</v>
      </c>
    </row>
    <row r="40" spans="2:4" x14ac:dyDescent="0.3">
      <c r="B40" s="18"/>
      <c r="D40" t="s">
        <v>66</v>
      </c>
    </row>
    <row r="41" spans="2:4" x14ac:dyDescent="0.3">
      <c r="B41" s="18"/>
      <c r="D41" t="s">
        <v>67</v>
      </c>
    </row>
    <row r="42" spans="2:4" x14ac:dyDescent="0.3">
      <c r="B42" s="18"/>
      <c r="D42" t="s">
        <v>21</v>
      </c>
    </row>
    <row r="43" spans="2:4" x14ac:dyDescent="0.3">
      <c r="B43" s="20">
        <v>0</v>
      </c>
      <c r="C43" t="s">
        <v>22</v>
      </c>
      <c r="D43" t="s">
        <v>23</v>
      </c>
    </row>
    <row r="44" spans="2:4" x14ac:dyDescent="0.3">
      <c r="B44" s="20"/>
      <c r="C44" t="s">
        <v>24</v>
      </c>
      <c r="D44" t="s">
        <v>25</v>
      </c>
    </row>
    <row r="45" spans="2:4" x14ac:dyDescent="0.3">
      <c r="B45" s="20">
        <f>D105</f>
        <v>24839.514499999997</v>
      </c>
      <c r="C45" t="s">
        <v>68</v>
      </c>
      <c r="D45" t="s">
        <v>69</v>
      </c>
    </row>
    <row r="46" spans="2:4" s="2" customFormat="1" x14ac:dyDescent="0.3">
      <c r="B46" s="44"/>
      <c r="D46" s="2" t="s">
        <v>70</v>
      </c>
    </row>
    <row r="47" spans="2:4" s="2" customFormat="1" x14ac:dyDescent="0.3">
      <c r="B47" s="44"/>
      <c r="D47" s="2" t="s">
        <v>71</v>
      </c>
    </row>
    <row r="48" spans="2:4" x14ac:dyDescent="0.3">
      <c r="D48" s="2" t="s">
        <v>72</v>
      </c>
    </row>
    <row r="49" spans="1:17" x14ac:dyDescent="0.3">
      <c r="D49" s="2" t="s">
        <v>73</v>
      </c>
    </row>
    <row r="50" spans="1:17" x14ac:dyDescent="0.3">
      <c r="D50" s="2" t="s">
        <v>74</v>
      </c>
    </row>
    <row r="51" spans="1:17" x14ac:dyDescent="0.3">
      <c r="D51" s="2" t="s">
        <v>75</v>
      </c>
    </row>
    <row r="52" spans="1:17" x14ac:dyDescent="0.3">
      <c r="D52" s="2" t="s">
        <v>76</v>
      </c>
    </row>
    <row r="53" spans="1:17" x14ac:dyDescent="0.3">
      <c r="B53" s="20"/>
      <c r="C53" t="s">
        <v>77</v>
      </c>
      <c r="D53" s="2" t="s">
        <v>78</v>
      </c>
    </row>
    <row r="54" spans="1:17" x14ac:dyDescent="0.3">
      <c r="D54" s="2" t="s">
        <v>79</v>
      </c>
    </row>
    <row r="57" spans="1:17" ht="30" customHeight="1" x14ac:dyDescent="0.3">
      <c r="A57" s="25">
        <f>B63*B65/B67</f>
        <v>0.54299768138981996</v>
      </c>
      <c r="B57" t="s">
        <v>10</v>
      </c>
      <c r="C57" s="257" t="s">
        <v>26</v>
      </c>
      <c r="D57" s="257"/>
      <c r="E57" s="257"/>
      <c r="F57" s="257"/>
      <c r="G57" s="257"/>
      <c r="H57" s="257"/>
      <c r="I57" s="257"/>
      <c r="J57" s="257"/>
      <c r="K57" s="257"/>
      <c r="L57" s="257"/>
      <c r="M57" s="257"/>
      <c r="N57" s="257"/>
      <c r="O57" s="257"/>
      <c r="P57" s="257"/>
      <c r="Q57" s="257"/>
    </row>
    <row r="59" spans="1:17" x14ac:dyDescent="0.3">
      <c r="E59" s="26" t="s">
        <v>27</v>
      </c>
    </row>
    <row r="61" spans="1:17" x14ac:dyDescent="0.3">
      <c r="E61" s="26" t="s">
        <v>28</v>
      </c>
    </row>
    <row r="63" spans="1:17" ht="46.5" customHeight="1" x14ac:dyDescent="0.3">
      <c r="B63" s="27">
        <f>C94</f>
        <v>13177.165800000001</v>
      </c>
      <c r="C63" t="s">
        <v>29</v>
      </c>
      <c r="D63" s="257" t="s">
        <v>30</v>
      </c>
      <c r="E63" s="257"/>
      <c r="F63" s="257"/>
      <c r="G63" s="257"/>
      <c r="H63" s="257"/>
      <c r="I63" s="257"/>
      <c r="J63" s="257"/>
      <c r="K63" s="257"/>
      <c r="L63" s="257"/>
      <c r="M63" s="257"/>
      <c r="N63" s="257"/>
      <c r="O63" s="257"/>
      <c r="P63" s="257"/>
      <c r="Q63" s="257"/>
    </row>
    <row r="64" spans="1:17" s="2" customFormat="1" ht="7.5" customHeight="1" x14ac:dyDescent="0.3">
      <c r="D64" s="28"/>
      <c r="E64" s="28"/>
      <c r="F64" s="28"/>
      <c r="G64" s="28"/>
      <c r="H64" s="28"/>
      <c r="I64" s="28"/>
      <c r="J64" s="28"/>
      <c r="K64" s="28"/>
      <c r="L64" s="28"/>
      <c r="M64" s="28"/>
      <c r="N64" s="28"/>
      <c r="O64" s="28"/>
      <c r="P64" s="28"/>
      <c r="Q64" s="28"/>
    </row>
    <row r="65" spans="1:17" ht="32.25" customHeight="1" x14ac:dyDescent="0.3">
      <c r="B65" s="228">
        <f>(C86+C83)/Tame_SPII_2022!L2</f>
        <v>9.8967571722981332E-2</v>
      </c>
      <c r="C65" t="s">
        <v>31</v>
      </c>
      <c r="D65" s="257" t="s">
        <v>32</v>
      </c>
      <c r="E65" s="257"/>
      <c r="F65" s="257"/>
      <c r="G65" s="257"/>
      <c r="H65" s="257"/>
      <c r="I65" s="257"/>
      <c r="J65" s="257"/>
      <c r="K65" s="257"/>
      <c r="L65" s="257"/>
      <c r="M65" s="257"/>
      <c r="N65" s="257"/>
      <c r="O65" s="257"/>
      <c r="P65" s="257"/>
      <c r="Q65" s="257"/>
    </row>
    <row r="66" spans="1:17" ht="6" customHeight="1" x14ac:dyDescent="0.3"/>
    <row r="67" spans="1:17" x14ac:dyDescent="0.3">
      <c r="B67" s="20">
        <v>2401.69</v>
      </c>
      <c r="C67" t="s">
        <v>33</v>
      </c>
      <c r="D67" s="26" t="s">
        <v>34</v>
      </c>
    </row>
    <row r="70" spans="1:17" x14ac:dyDescent="0.3">
      <c r="C70" s="29"/>
      <c r="D70" s="29"/>
      <c r="E70" s="29"/>
      <c r="F70" s="29"/>
    </row>
    <row r="71" spans="1:17" x14ac:dyDescent="0.3">
      <c r="B71" s="30" t="s">
        <v>35</v>
      </c>
      <c r="C71" s="29"/>
      <c r="D71" s="29"/>
      <c r="E71" s="29"/>
      <c r="F71" s="29"/>
    </row>
    <row r="72" spans="1:17" x14ac:dyDescent="0.3">
      <c r="B72">
        <v>2224</v>
      </c>
      <c r="C72" s="18">
        <f>Komunalserviss!K20</f>
        <v>1500</v>
      </c>
      <c r="D72" s="229" t="s">
        <v>36</v>
      </c>
      <c r="E72" s="43"/>
    </row>
    <row r="73" spans="1:17" x14ac:dyDescent="0.3">
      <c r="B73">
        <v>2239</v>
      </c>
      <c r="C73" s="31">
        <f>1055+120</f>
        <v>1175</v>
      </c>
      <c r="D73" s="229" t="s">
        <v>80</v>
      </c>
    </row>
    <row r="74" spans="1:17" x14ac:dyDescent="0.3">
      <c r="A74" s="32"/>
      <c r="B74" s="32">
        <v>2241</v>
      </c>
      <c r="C74" s="33">
        <f>Tame_SPII_2022!L84</f>
        <v>600</v>
      </c>
      <c r="D74" s="34" t="s">
        <v>37</v>
      </c>
      <c r="E74" s="32"/>
      <c r="F74" s="32"/>
    </row>
    <row r="75" spans="1:17" x14ac:dyDescent="0.3">
      <c r="B75">
        <v>2243</v>
      </c>
      <c r="C75" s="31">
        <f>Komunalserviss!K26</f>
        <v>5060</v>
      </c>
      <c r="D75" s="229" t="s">
        <v>38</v>
      </c>
      <c r="E75" s="229"/>
    </row>
    <row r="76" spans="1:17" x14ac:dyDescent="0.3">
      <c r="B76">
        <v>2244</v>
      </c>
      <c r="C76" s="31">
        <f>Komunalserviss!K33</f>
        <v>2459</v>
      </c>
      <c r="D76" s="229" t="s">
        <v>39</v>
      </c>
    </row>
    <row r="77" spans="1:17" x14ac:dyDescent="0.3">
      <c r="B77">
        <v>2247</v>
      </c>
      <c r="C77" s="31">
        <f>Tame_SPII_2022!L84</f>
        <v>600</v>
      </c>
      <c r="D77" s="229" t="s">
        <v>169</v>
      </c>
    </row>
    <row r="78" spans="1:17" x14ac:dyDescent="0.3">
      <c r="B78">
        <v>2223</v>
      </c>
      <c r="C78" s="31">
        <f>(Tame_SPII_2022!M57+Komunalserviss!L49)</f>
        <v>48400</v>
      </c>
      <c r="D78" s="229" t="s">
        <v>338</v>
      </c>
    </row>
    <row r="79" spans="1:17" x14ac:dyDescent="0.3">
      <c r="B79">
        <v>2341</v>
      </c>
      <c r="C79" s="31">
        <f>Tame_SPII_2022!M132</f>
        <v>180</v>
      </c>
      <c r="D79" s="229" t="s">
        <v>40</v>
      </c>
    </row>
    <row r="80" spans="1:17" x14ac:dyDescent="0.3">
      <c r="B80">
        <v>2350</v>
      </c>
      <c r="C80" s="31">
        <f>Komunalserviss!K54</f>
        <v>12000</v>
      </c>
      <c r="D80" s="229" t="s">
        <v>41</v>
      </c>
    </row>
    <row r="81" spans="1:7" x14ac:dyDescent="0.3">
      <c r="A81" s="35" t="s">
        <v>42</v>
      </c>
      <c r="B81" s="35"/>
      <c r="C81" s="36">
        <f>SUM(C72:C80)</f>
        <v>71974</v>
      </c>
      <c r="D81" s="250"/>
      <c r="E81" s="250"/>
      <c r="F81" s="250"/>
      <c r="G81" s="250"/>
    </row>
    <row r="82" spans="1:7" x14ac:dyDescent="0.3">
      <c r="C82" s="37"/>
      <c r="D82" s="250"/>
      <c r="E82" s="250"/>
      <c r="F82" s="250"/>
      <c r="G82" s="250"/>
    </row>
    <row r="83" spans="1:7" x14ac:dyDescent="0.3">
      <c r="C83" s="42">
        <f>(650*4)*12*1.2359</f>
        <v>38560.080000000002</v>
      </c>
      <c r="D83" s="38" t="s">
        <v>43</v>
      </c>
      <c r="E83" s="229"/>
      <c r="F83" s="229"/>
      <c r="G83" s="229"/>
    </row>
    <row r="84" spans="1:7" x14ac:dyDescent="0.3">
      <c r="A84" s="35" t="s">
        <v>44</v>
      </c>
      <c r="B84" s="35"/>
      <c r="C84" s="36">
        <f>SUM(C83:C83)</f>
        <v>38560.080000000002</v>
      </c>
      <c r="D84" s="229"/>
      <c r="E84" s="229"/>
      <c r="F84" s="229"/>
      <c r="G84" s="229"/>
    </row>
    <row r="85" spans="1:7" x14ac:dyDescent="0.3">
      <c r="C85" s="37"/>
      <c r="D85" s="229"/>
      <c r="E85" s="229"/>
      <c r="F85" s="229"/>
      <c r="G85" s="229"/>
    </row>
    <row r="86" spans="1:7" x14ac:dyDescent="0.3">
      <c r="C86" s="39">
        <f>(1777/2)*1.2359*12</f>
        <v>13177.165800000001</v>
      </c>
      <c r="D86" s="38" t="s">
        <v>51</v>
      </c>
    </row>
    <row r="87" spans="1:7" x14ac:dyDescent="0.3">
      <c r="B87">
        <v>2211</v>
      </c>
      <c r="C87" s="43"/>
      <c r="D87" t="s">
        <v>45</v>
      </c>
    </row>
    <row r="88" spans="1:7" x14ac:dyDescent="0.3">
      <c r="B88">
        <v>2219</v>
      </c>
      <c r="C88" s="43"/>
      <c r="D88" s="229" t="s">
        <v>46</v>
      </c>
    </row>
    <row r="89" spans="1:7" x14ac:dyDescent="0.3">
      <c r="B89">
        <v>2234</v>
      </c>
      <c r="D89" s="229" t="s">
        <v>47</v>
      </c>
    </row>
    <row r="90" spans="1:7" x14ac:dyDescent="0.3">
      <c r="B90">
        <v>2311</v>
      </c>
      <c r="D90" s="229" t="s">
        <v>48</v>
      </c>
    </row>
    <row r="91" spans="1:7" x14ac:dyDescent="0.3">
      <c r="B91">
        <v>2312</v>
      </c>
      <c r="C91" s="43"/>
      <c r="D91" s="229" t="s">
        <v>49</v>
      </c>
    </row>
    <row r="92" spans="1:7" x14ac:dyDescent="0.3">
      <c r="B92">
        <v>2322</v>
      </c>
      <c r="D92" s="229" t="s">
        <v>50</v>
      </c>
    </row>
    <row r="93" spans="1:7" x14ac:dyDescent="0.3">
      <c r="B93">
        <v>2390</v>
      </c>
    </row>
    <row r="94" spans="1:7" x14ac:dyDescent="0.3">
      <c r="A94" s="35" t="s">
        <v>341</v>
      </c>
      <c r="B94" s="35"/>
      <c r="C94" s="36">
        <f>SUM(C86:C93)</f>
        <v>13177.165800000001</v>
      </c>
    </row>
    <row r="96" spans="1:7" ht="28.8" x14ac:dyDescent="0.3">
      <c r="C96" s="40" t="s">
        <v>52</v>
      </c>
    </row>
    <row r="97" spans="1:4" x14ac:dyDescent="0.3">
      <c r="C97">
        <v>89767.17</v>
      </c>
    </row>
    <row r="98" spans="1:4" x14ac:dyDescent="0.3">
      <c r="C98" s="41">
        <f>SUM(C97:C97)</f>
        <v>89767.17</v>
      </c>
    </row>
    <row r="100" spans="1:4" ht="15" thickBot="1" x14ac:dyDescent="0.35">
      <c r="C100" t="s">
        <v>346</v>
      </c>
    </row>
    <row r="101" spans="1:4" x14ac:dyDescent="0.3">
      <c r="A101" s="251" t="s">
        <v>342</v>
      </c>
      <c r="B101" s="253" t="s">
        <v>343</v>
      </c>
      <c r="C101" s="230" t="s">
        <v>347</v>
      </c>
      <c r="D101" s="232">
        <v>9467</v>
      </c>
    </row>
    <row r="102" spans="1:4" ht="15" thickBot="1" x14ac:dyDescent="0.35">
      <c r="A102" s="252"/>
      <c r="B102" s="254"/>
      <c r="C102" s="231" t="s">
        <v>348</v>
      </c>
      <c r="D102" s="233">
        <v>707.5145</v>
      </c>
    </row>
    <row r="103" spans="1:4" x14ac:dyDescent="0.3">
      <c r="A103" s="251" t="s">
        <v>344</v>
      </c>
      <c r="B103" s="253" t="s">
        <v>345</v>
      </c>
      <c r="C103" s="230" t="s">
        <v>347</v>
      </c>
      <c r="D103" s="232">
        <v>13653</v>
      </c>
    </row>
    <row r="104" spans="1:4" ht="15" thickBot="1" x14ac:dyDescent="0.35">
      <c r="A104" s="252"/>
      <c r="B104" s="254"/>
      <c r="C104" s="231" t="s">
        <v>348</v>
      </c>
      <c r="D104" s="233">
        <v>1012</v>
      </c>
    </row>
    <row r="105" spans="1:4" x14ac:dyDescent="0.3">
      <c r="A105" s="35" t="s">
        <v>340</v>
      </c>
      <c r="B105" s="35"/>
      <c r="C105" s="36"/>
      <c r="D105" s="36">
        <f>SUM(D101:D104)</f>
        <v>24839.514499999997</v>
      </c>
    </row>
  </sheetData>
  <mergeCells count="11">
    <mergeCell ref="A2:D2"/>
    <mergeCell ref="E6:E7"/>
    <mergeCell ref="C57:Q57"/>
    <mergeCell ref="D63:Q63"/>
    <mergeCell ref="D65:Q65"/>
    <mergeCell ref="D81:G81"/>
    <mergeCell ref="A101:A102"/>
    <mergeCell ref="B101:B102"/>
    <mergeCell ref="A103:A104"/>
    <mergeCell ref="B103:B104"/>
    <mergeCell ref="D82:G82"/>
  </mergeCells>
  <pageMargins left="0.70866141732283472" right="0.70866141732283472"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Q105"/>
  <sheetViews>
    <sheetView topLeftCell="H1" zoomScaleNormal="100" workbookViewId="0">
      <selection activeCell="H1" sqref="H1:M4"/>
    </sheetView>
  </sheetViews>
  <sheetFormatPr defaultRowHeight="14.4" x14ac:dyDescent="0.3"/>
  <cols>
    <col min="1" max="1" width="14.88671875" customWidth="1"/>
    <col min="2" max="2" width="12.88671875" bestFit="1" customWidth="1"/>
    <col min="3" max="3" width="10.44140625" bestFit="1" customWidth="1"/>
    <col min="4" max="4" width="54.5546875" customWidth="1"/>
    <col min="11" max="11" width="13" customWidth="1"/>
    <col min="12" max="13" width="9.33203125" bestFit="1" customWidth="1"/>
  </cols>
  <sheetData>
    <row r="1" spans="1:15" ht="15.6" x14ac:dyDescent="0.3">
      <c r="H1" s="260" t="s">
        <v>356</v>
      </c>
      <c r="I1" s="260"/>
      <c r="J1" s="260"/>
      <c r="K1" s="260"/>
      <c r="L1" s="260"/>
      <c r="M1" s="260"/>
    </row>
    <row r="2" spans="1:15" ht="18.75" customHeight="1" x14ac:dyDescent="0.3">
      <c r="H2" s="261" t="s">
        <v>357</v>
      </c>
      <c r="I2" s="261"/>
      <c r="J2" s="261"/>
      <c r="K2" s="261"/>
      <c r="L2" s="261"/>
      <c r="M2" s="261"/>
    </row>
    <row r="3" spans="1:15" ht="15.6" x14ac:dyDescent="0.3">
      <c r="H3" s="262" t="s">
        <v>361</v>
      </c>
      <c r="I3" s="262"/>
      <c r="J3" s="262"/>
      <c r="K3" s="262"/>
      <c r="L3" s="262"/>
      <c r="M3" s="262"/>
    </row>
    <row r="4" spans="1:15" ht="15.6" x14ac:dyDescent="0.3">
      <c r="A4" s="1"/>
      <c r="H4" s="260" t="s">
        <v>359</v>
      </c>
      <c r="I4" s="260"/>
      <c r="J4" s="260"/>
      <c r="K4" s="260"/>
      <c r="L4" s="260"/>
      <c r="M4" s="260"/>
    </row>
    <row r="5" spans="1:15" x14ac:dyDescent="0.3">
      <c r="C5" s="2"/>
      <c r="D5" s="2"/>
      <c r="E5" s="2"/>
      <c r="K5" s="3" t="s">
        <v>0</v>
      </c>
      <c r="L5" s="4" t="s">
        <v>337</v>
      </c>
      <c r="M5" t="s">
        <v>339</v>
      </c>
      <c r="O5" s="5"/>
    </row>
    <row r="6" spans="1:15" ht="15" thickBot="1" x14ac:dyDescent="0.35">
      <c r="B6" s="6">
        <f>((A17/B9+B13)*B11+B15)/12</f>
        <v>391.82942989474446</v>
      </c>
      <c r="C6" s="7" t="s">
        <v>1</v>
      </c>
      <c r="D6" s="8" t="s">
        <v>351</v>
      </c>
      <c r="E6" s="256" t="s">
        <v>2</v>
      </c>
      <c r="H6" s="9" t="s">
        <v>3</v>
      </c>
      <c r="I6" s="10">
        <f>B6/B11</f>
        <v>7.0371664851786004</v>
      </c>
      <c r="K6" s="11">
        <f>I6*B11</f>
        <v>391.82942989474446</v>
      </c>
      <c r="L6" s="12">
        <f>K6/21</f>
        <v>18.658544280702117</v>
      </c>
      <c r="M6" s="15">
        <f>L6/3</f>
        <v>6.2195147602340386</v>
      </c>
      <c r="O6" s="5"/>
    </row>
    <row r="7" spans="1:15" x14ac:dyDescent="0.3">
      <c r="B7" s="9" t="s">
        <v>4</v>
      </c>
      <c r="C7" s="7"/>
      <c r="D7" s="13">
        <v>12</v>
      </c>
      <c r="E7" s="256"/>
      <c r="H7" s="9" t="s">
        <v>5</v>
      </c>
      <c r="I7" s="14">
        <f>I6*1.21</f>
        <v>8.514971447066106</v>
      </c>
      <c r="K7" s="11">
        <f>I7*B11</f>
        <v>474.11361017264079</v>
      </c>
      <c r="L7" s="12">
        <f>K7/21</f>
        <v>22.576838579649561</v>
      </c>
      <c r="M7" s="15">
        <f>L7/3</f>
        <v>7.5256128598831866</v>
      </c>
      <c r="O7" s="5"/>
    </row>
    <row r="8" spans="1:15" x14ac:dyDescent="0.3">
      <c r="C8" s="2"/>
      <c r="D8" s="2"/>
      <c r="E8" s="2"/>
      <c r="K8" s="15"/>
      <c r="O8" s="5"/>
    </row>
    <row r="9" spans="1:15" x14ac:dyDescent="0.3">
      <c r="B9" s="16">
        <v>2401.69</v>
      </c>
      <c r="C9" t="s">
        <v>6</v>
      </c>
      <c r="D9" s="17" t="s">
        <v>7</v>
      </c>
      <c r="O9" s="5"/>
    </row>
    <row r="10" spans="1:15" ht="4.5" customHeight="1" x14ac:dyDescent="0.3">
      <c r="B10" s="18"/>
      <c r="D10" s="17"/>
      <c r="O10" s="5"/>
    </row>
    <row r="11" spans="1:15" x14ac:dyDescent="0.3">
      <c r="A11" s="19">
        <f>B11/B9</f>
        <v>2.3183674828974595E-2</v>
      </c>
      <c r="B11" s="20">
        <v>55.68</v>
      </c>
      <c r="C11" t="s">
        <v>8</v>
      </c>
      <c r="D11" s="21" t="s">
        <v>9</v>
      </c>
      <c r="E11" s="21"/>
      <c r="L11" s="15"/>
    </row>
    <row r="12" spans="1:15" ht="5.25" customHeight="1" x14ac:dyDescent="0.3">
      <c r="B12" s="18"/>
      <c r="D12" s="17"/>
    </row>
    <row r="13" spans="1:15" x14ac:dyDescent="0.3">
      <c r="B13" s="20">
        <f>A57</f>
        <v>0.54299768138981996</v>
      </c>
      <c r="C13" t="s">
        <v>10</v>
      </c>
      <c r="D13" s="21" t="s">
        <v>11</v>
      </c>
      <c r="K13">
        <f>12.98+10.56</f>
        <v>23.54</v>
      </c>
    </row>
    <row r="14" spans="1:15" ht="6.75" customHeight="1" x14ac:dyDescent="0.3">
      <c r="C14" s="21"/>
    </row>
    <row r="15" spans="1:15" ht="18.600000000000001" customHeight="1" x14ac:dyDescent="0.3">
      <c r="B15" s="237">
        <v>28</v>
      </c>
      <c r="C15" s="235" t="s">
        <v>349</v>
      </c>
      <c r="D15" s="236" t="s">
        <v>350</v>
      </c>
    </row>
    <row r="16" spans="1:15" ht="6.75" customHeight="1" x14ac:dyDescent="0.3">
      <c r="C16" s="21"/>
    </row>
    <row r="17" spans="1:8" x14ac:dyDescent="0.3">
      <c r="A17" s="20">
        <f>B26+B37+B39+B43+B44+B46</f>
        <v>200301.25</v>
      </c>
      <c r="B17" t="s">
        <v>12</v>
      </c>
      <c r="C17" t="s">
        <v>13</v>
      </c>
    </row>
    <row r="19" spans="1:8" x14ac:dyDescent="0.3">
      <c r="D19" s="17" t="s">
        <v>14</v>
      </c>
    </row>
    <row r="20" spans="1:8" x14ac:dyDescent="0.3">
      <c r="D20" s="22"/>
    </row>
    <row r="21" spans="1:8" x14ac:dyDescent="0.3">
      <c r="D21" t="s">
        <v>53</v>
      </c>
      <c r="H21" t="s">
        <v>53</v>
      </c>
    </row>
    <row r="22" spans="1:8" x14ac:dyDescent="0.3">
      <c r="D22" s="23"/>
    </row>
    <row r="23" spans="1:8" x14ac:dyDescent="0.3">
      <c r="D23" s="24" t="s">
        <v>15</v>
      </c>
    </row>
    <row r="26" spans="1:8" x14ac:dyDescent="0.3">
      <c r="B26" s="20">
        <f>C81+C84</f>
        <v>110534.08</v>
      </c>
      <c r="C26" t="s">
        <v>16</v>
      </c>
      <c r="D26" t="s">
        <v>54</v>
      </c>
    </row>
    <row r="27" spans="1:8" x14ac:dyDescent="0.3">
      <c r="B27" s="18"/>
      <c r="D27" t="s">
        <v>55</v>
      </c>
    </row>
    <row r="28" spans="1:8" x14ac:dyDescent="0.3">
      <c r="B28" s="18"/>
      <c r="D28" t="s">
        <v>56</v>
      </c>
    </row>
    <row r="29" spans="1:8" x14ac:dyDescent="0.3">
      <c r="B29" s="18"/>
      <c r="D29" t="s">
        <v>57</v>
      </c>
    </row>
    <row r="30" spans="1:8" x14ac:dyDescent="0.3">
      <c r="B30" s="18"/>
      <c r="D30" t="s">
        <v>58</v>
      </c>
    </row>
    <row r="31" spans="1:8" x14ac:dyDescent="0.3">
      <c r="B31" s="18"/>
      <c r="D31" t="s">
        <v>59</v>
      </c>
    </row>
    <row r="32" spans="1:8" x14ac:dyDescent="0.3">
      <c r="B32" s="18"/>
      <c r="D32" t="s">
        <v>60</v>
      </c>
    </row>
    <row r="33" spans="2:4" x14ac:dyDescent="0.3">
      <c r="B33" s="18"/>
      <c r="D33" t="s">
        <v>61</v>
      </c>
    </row>
    <row r="34" spans="2:4" x14ac:dyDescent="0.3">
      <c r="B34" s="18"/>
      <c r="D34" t="s">
        <v>62</v>
      </c>
    </row>
    <row r="35" spans="2:4" x14ac:dyDescent="0.3">
      <c r="B35" s="18"/>
      <c r="D35" t="s">
        <v>63</v>
      </c>
    </row>
    <row r="36" spans="2:4" x14ac:dyDescent="0.3">
      <c r="B36" s="18"/>
      <c r="D36" t="s">
        <v>64</v>
      </c>
    </row>
    <row r="37" spans="2:4" x14ac:dyDescent="0.3">
      <c r="B37" s="20">
        <f>C98</f>
        <v>89767.17</v>
      </c>
      <c r="C37" t="s">
        <v>17</v>
      </c>
      <c r="D37" t="s">
        <v>18</v>
      </c>
    </row>
    <row r="38" spans="2:4" x14ac:dyDescent="0.3">
      <c r="B38" s="18"/>
      <c r="D38" t="s">
        <v>19</v>
      </c>
    </row>
    <row r="39" spans="2:4" x14ac:dyDescent="0.3">
      <c r="B39" s="20"/>
      <c r="C39" t="s">
        <v>20</v>
      </c>
      <c r="D39" t="s">
        <v>65</v>
      </c>
    </row>
    <row r="40" spans="2:4" x14ac:dyDescent="0.3">
      <c r="B40" s="18"/>
      <c r="D40" t="s">
        <v>66</v>
      </c>
    </row>
    <row r="41" spans="2:4" x14ac:dyDescent="0.3">
      <c r="B41" s="18"/>
      <c r="D41" t="s">
        <v>67</v>
      </c>
    </row>
    <row r="42" spans="2:4" x14ac:dyDescent="0.3">
      <c r="B42" s="18"/>
      <c r="D42" t="s">
        <v>21</v>
      </c>
    </row>
    <row r="43" spans="2:4" x14ac:dyDescent="0.3">
      <c r="B43" s="20">
        <v>0</v>
      </c>
      <c r="C43" t="s">
        <v>22</v>
      </c>
      <c r="D43" t="s">
        <v>23</v>
      </c>
    </row>
    <row r="44" spans="2:4" x14ac:dyDescent="0.3">
      <c r="B44" s="20"/>
      <c r="C44" t="s">
        <v>24</v>
      </c>
      <c r="D44" t="s">
        <v>25</v>
      </c>
    </row>
    <row r="45" spans="2:4" x14ac:dyDescent="0.3">
      <c r="B45" s="20">
        <f>D105</f>
        <v>24839.514499999997</v>
      </c>
      <c r="C45" t="s">
        <v>68</v>
      </c>
      <c r="D45" t="s">
        <v>69</v>
      </c>
    </row>
    <row r="46" spans="2:4" s="2" customFormat="1" x14ac:dyDescent="0.3">
      <c r="B46" s="44"/>
      <c r="D46" s="2" t="s">
        <v>70</v>
      </c>
    </row>
    <row r="47" spans="2:4" s="2" customFormat="1" x14ac:dyDescent="0.3">
      <c r="B47" s="44"/>
      <c r="D47" s="2" t="s">
        <v>71</v>
      </c>
    </row>
    <row r="48" spans="2:4" x14ac:dyDescent="0.3">
      <c r="D48" s="2" t="s">
        <v>72</v>
      </c>
    </row>
    <row r="49" spans="1:17" x14ac:dyDescent="0.3">
      <c r="D49" s="2" t="s">
        <v>73</v>
      </c>
    </row>
    <row r="50" spans="1:17" x14ac:dyDescent="0.3">
      <c r="D50" s="2" t="s">
        <v>74</v>
      </c>
    </row>
    <row r="51" spans="1:17" x14ac:dyDescent="0.3">
      <c r="D51" s="2" t="s">
        <v>75</v>
      </c>
    </row>
    <row r="52" spans="1:17" x14ac:dyDescent="0.3">
      <c r="D52" s="2" t="s">
        <v>76</v>
      </c>
    </row>
    <row r="53" spans="1:17" x14ac:dyDescent="0.3">
      <c r="B53" s="20"/>
      <c r="C53" t="s">
        <v>77</v>
      </c>
      <c r="D53" s="2" t="s">
        <v>78</v>
      </c>
    </row>
    <row r="54" spans="1:17" x14ac:dyDescent="0.3">
      <c r="D54" s="2" t="s">
        <v>79</v>
      </c>
    </row>
    <row r="57" spans="1:17" ht="30" customHeight="1" x14ac:dyDescent="0.3">
      <c r="A57" s="25">
        <f>B63*B65/B67</f>
        <v>0.54299768138981996</v>
      </c>
      <c r="B57" t="s">
        <v>10</v>
      </c>
      <c r="C57" s="257" t="s">
        <v>26</v>
      </c>
      <c r="D57" s="257"/>
      <c r="E57" s="257"/>
      <c r="F57" s="257"/>
      <c r="G57" s="257"/>
      <c r="H57" s="257"/>
      <c r="I57" s="257"/>
      <c r="J57" s="257"/>
      <c r="K57" s="257"/>
      <c r="L57" s="257"/>
      <c r="M57" s="257"/>
      <c r="N57" s="257"/>
      <c r="O57" s="257"/>
      <c r="P57" s="257"/>
      <c r="Q57" s="257"/>
    </row>
    <row r="59" spans="1:17" x14ac:dyDescent="0.3">
      <c r="E59" s="26" t="s">
        <v>27</v>
      </c>
    </row>
    <row r="61" spans="1:17" x14ac:dyDescent="0.3">
      <c r="E61" s="26" t="s">
        <v>28</v>
      </c>
    </row>
    <row r="63" spans="1:17" ht="46.5" customHeight="1" x14ac:dyDescent="0.3">
      <c r="B63" s="27">
        <f>C94</f>
        <v>13177.165800000001</v>
      </c>
      <c r="C63" t="s">
        <v>29</v>
      </c>
      <c r="D63" s="257" t="s">
        <v>30</v>
      </c>
      <c r="E63" s="257"/>
      <c r="F63" s="257"/>
      <c r="G63" s="257"/>
      <c r="H63" s="257"/>
      <c r="I63" s="257"/>
      <c r="J63" s="257"/>
      <c r="K63" s="257"/>
      <c r="L63" s="257"/>
      <c r="M63" s="257"/>
      <c r="N63" s="257"/>
      <c r="O63" s="257"/>
      <c r="P63" s="257"/>
      <c r="Q63" s="257"/>
    </row>
    <row r="64" spans="1:17" s="2" customFormat="1" ht="7.5" customHeight="1" x14ac:dyDescent="0.3">
      <c r="D64" s="28"/>
      <c r="E64" s="28"/>
      <c r="F64" s="28"/>
      <c r="G64" s="28"/>
      <c r="H64" s="28"/>
      <c r="I64" s="28"/>
      <c r="J64" s="28"/>
      <c r="K64" s="28"/>
      <c r="L64" s="28"/>
      <c r="M64" s="28"/>
      <c r="N64" s="28"/>
      <c r="O64" s="28"/>
      <c r="P64" s="28"/>
      <c r="Q64" s="28"/>
    </row>
    <row r="65" spans="1:17" ht="32.25" customHeight="1" x14ac:dyDescent="0.3">
      <c r="B65" s="228">
        <f>(C86+C83)/Tame_SPII_2022!L2</f>
        <v>9.8967571722981332E-2</v>
      </c>
      <c r="C65" t="s">
        <v>31</v>
      </c>
      <c r="D65" s="257" t="s">
        <v>32</v>
      </c>
      <c r="E65" s="257"/>
      <c r="F65" s="257"/>
      <c r="G65" s="257"/>
      <c r="H65" s="257"/>
      <c r="I65" s="257"/>
      <c r="J65" s="257"/>
      <c r="K65" s="257"/>
      <c r="L65" s="257"/>
      <c r="M65" s="257"/>
      <c r="N65" s="257"/>
      <c r="O65" s="257"/>
      <c r="P65" s="257"/>
      <c r="Q65" s="257"/>
    </row>
    <row r="66" spans="1:17" ht="6" customHeight="1" x14ac:dyDescent="0.3"/>
    <row r="67" spans="1:17" x14ac:dyDescent="0.3">
      <c r="B67" s="20">
        <v>2401.69</v>
      </c>
      <c r="C67" t="s">
        <v>33</v>
      </c>
      <c r="D67" s="26" t="s">
        <v>34</v>
      </c>
    </row>
    <row r="70" spans="1:17" x14ac:dyDescent="0.3">
      <c r="C70" s="29"/>
      <c r="D70" s="29"/>
      <c r="E70" s="29"/>
      <c r="F70" s="29"/>
    </row>
    <row r="71" spans="1:17" x14ac:dyDescent="0.3">
      <c r="B71" s="30" t="s">
        <v>35</v>
      </c>
      <c r="C71" s="29"/>
      <c r="D71" s="29"/>
      <c r="E71" s="29"/>
      <c r="F71" s="29"/>
    </row>
    <row r="72" spans="1:17" x14ac:dyDescent="0.3">
      <c r="B72">
        <v>2224</v>
      </c>
      <c r="C72" s="18">
        <f>Komunalserviss!K20</f>
        <v>1500</v>
      </c>
      <c r="D72" s="234" t="s">
        <v>36</v>
      </c>
      <c r="E72" s="43"/>
    </row>
    <row r="73" spans="1:17" x14ac:dyDescent="0.3">
      <c r="B73">
        <v>2239</v>
      </c>
      <c r="C73" s="31">
        <f>1055+120</f>
        <v>1175</v>
      </c>
      <c r="D73" s="234" t="s">
        <v>80</v>
      </c>
    </row>
    <row r="74" spans="1:17" x14ac:dyDescent="0.3">
      <c r="A74" s="32"/>
      <c r="B74" s="32">
        <v>2241</v>
      </c>
      <c r="C74" s="33">
        <f>Tame_SPII_2022!L84</f>
        <v>600</v>
      </c>
      <c r="D74" s="34" t="s">
        <v>37</v>
      </c>
      <c r="E74" s="32"/>
      <c r="F74" s="32"/>
    </row>
    <row r="75" spans="1:17" x14ac:dyDescent="0.3">
      <c r="B75">
        <v>2243</v>
      </c>
      <c r="C75" s="31">
        <f>Komunalserviss!K26</f>
        <v>5060</v>
      </c>
      <c r="D75" s="234" t="s">
        <v>38</v>
      </c>
      <c r="E75" s="234"/>
    </row>
    <row r="76" spans="1:17" x14ac:dyDescent="0.3">
      <c r="B76">
        <v>2244</v>
      </c>
      <c r="C76" s="31">
        <f>Komunalserviss!K33</f>
        <v>2459</v>
      </c>
      <c r="D76" s="234" t="s">
        <v>39</v>
      </c>
    </row>
    <row r="77" spans="1:17" x14ac:dyDescent="0.3">
      <c r="B77">
        <v>2247</v>
      </c>
      <c r="C77" s="31">
        <f>Tame_SPII_2022!L84</f>
        <v>600</v>
      </c>
      <c r="D77" s="234" t="s">
        <v>169</v>
      </c>
    </row>
    <row r="78" spans="1:17" x14ac:dyDescent="0.3">
      <c r="B78">
        <v>2223</v>
      </c>
      <c r="C78" s="31">
        <f>(Tame_SPII_2022!M57+Komunalserviss!L49)</f>
        <v>48400</v>
      </c>
      <c r="D78" s="234" t="s">
        <v>338</v>
      </c>
    </row>
    <row r="79" spans="1:17" x14ac:dyDescent="0.3">
      <c r="B79">
        <v>2341</v>
      </c>
      <c r="C79" s="31">
        <f>Tame_SPII_2022!M132</f>
        <v>180</v>
      </c>
      <c r="D79" s="234" t="s">
        <v>40</v>
      </c>
    </row>
    <row r="80" spans="1:17" x14ac:dyDescent="0.3">
      <c r="B80">
        <v>2350</v>
      </c>
      <c r="C80" s="31">
        <f>Komunalserviss!K54</f>
        <v>12000</v>
      </c>
      <c r="D80" s="234" t="s">
        <v>41</v>
      </c>
    </row>
    <row r="81" spans="1:7" x14ac:dyDescent="0.3">
      <c r="A81" s="35" t="s">
        <v>42</v>
      </c>
      <c r="B81" s="35"/>
      <c r="C81" s="36">
        <f>SUM(C72:C80)</f>
        <v>71974</v>
      </c>
      <c r="D81" s="250"/>
      <c r="E81" s="250"/>
      <c r="F81" s="250"/>
      <c r="G81" s="250"/>
    </row>
    <row r="82" spans="1:7" x14ac:dyDescent="0.3">
      <c r="C82" s="37"/>
      <c r="D82" s="250"/>
      <c r="E82" s="250"/>
      <c r="F82" s="250"/>
      <c r="G82" s="250"/>
    </row>
    <row r="83" spans="1:7" x14ac:dyDescent="0.3">
      <c r="C83" s="42">
        <f>(650*4)*12*1.2359</f>
        <v>38560.080000000002</v>
      </c>
      <c r="D83" s="38" t="s">
        <v>43</v>
      </c>
      <c r="E83" s="234"/>
      <c r="F83" s="234"/>
      <c r="G83" s="234"/>
    </row>
    <row r="84" spans="1:7" x14ac:dyDescent="0.3">
      <c r="A84" s="35" t="s">
        <v>44</v>
      </c>
      <c r="B84" s="35"/>
      <c r="C84" s="36">
        <f>SUM(C83:C83)</f>
        <v>38560.080000000002</v>
      </c>
      <c r="D84" s="234"/>
      <c r="E84" s="234"/>
      <c r="F84" s="234"/>
      <c r="G84" s="234"/>
    </row>
    <row r="85" spans="1:7" x14ac:dyDescent="0.3">
      <c r="C85" s="37"/>
      <c r="D85" s="234"/>
      <c r="E85" s="234"/>
      <c r="F85" s="234"/>
      <c r="G85" s="234"/>
    </row>
    <row r="86" spans="1:7" x14ac:dyDescent="0.3">
      <c r="C86" s="39">
        <f>(1777/2)*1.2359*12</f>
        <v>13177.165800000001</v>
      </c>
      <c r="D86" s="38" t="s">
        <v>51</v>
      </c>
    </row>
    <row r="87" spans="1:7" x14ac:dyDescent="0.3">
      <c r="B87">
        <v>2211</v>
      </c>
      <c r="C87" s="43"/>
      <c r="D87" t="s">
        <v>45</v>
      </c>
    </row>
    <row r="88" spans="1:7" x14ac:dyDescent="0.3">
      <c r="B88">
        <v>2219</v>
      </c>
      <c r="C88" s="43"/>
      <c r="D88" s="234" t="s">
        <v>46</v>
      </c>
    </row>
    <row r="89" spans="1:7" x14ac:dyDescent="0.3">
      <c r="B89">
        <v>2234</v>
      </c>
      <c r="D89" s="234" t="s">
        <v>47</v>
      </c>
    </row>
    <row r="90" spans="1:7" x14ac:dyDescent="0.3">
      <c r="B90">
        <v>2311</v>
      </c>
      <c r="D90" s="234" t="s">
        <v>48</v>
      </c>
    </row>
    <row r="91" spans="1:7" x14ac:dyDescent="0.3">
      <c r="B91">
        <v>2312</v>
      </c>
      <c r="C91" s="43"/>
      <c r="D91" s="234" t="s">
        <v>49</v>
      </c>
    </row>
    <row r="92" spans="1:7" x14ac:dyDescent="0.3">
      <c r="B92">
        <v>2322</v>
      </c>
      <c r="D92" s="234" t="s">
        <v>50</v>
      </c>
    </row>
    <row r="93" spans="1:7" x14ac:dyDescent="0.3">
      <c r="B93">
        <v>2390</v>
      </c>
    </row>
    <row r="94" spans="1:7" x14ac:dyDescent="0.3">
      <c r="A94" s="35" t="s">
        <v>341</v>
      </c>
      <c r="B94" s="35"/>
      <c r="C94" s="36">
        <f>SUM(C86:C93)</f>
        <v>13177.165800000001</v>
      </c>
    </row>
    <row r="96" spans="1:7" ht="28.8" x14ac:dyDescent="0.3">
      <c r="C96" s="40" t="s">
        <v>52</v>
      </c>
    </row>
    <row r="97" spans="1:4" x14ac:dyDescent="0.3">
      <c r="C97">
        <v>89767.17</v>
      </c>
    </row>
    <row r="98" spans="1:4" x14ac:dyDescent="0.3">
      <c r="C98" s="41">
        <f>SUM(C97:C97)</f>
        <v>89767.17</v>
      </c>
    </row>
    <row r="100" spans="1:4" ht="15" thickBot="1" x14ac:dyDescent="0.35">
      <c r="C100" t="s">
        <v>346</v>
      </c>
    </row>
    <row r="101" spans="1:4" x14ac:dyDescent="0.3">
      <c r="A101" s="251" t="s">
        <v>342</v>
      </c>
      <c r="B101" s="253" t="s">
        <v>343</v>
      </c>
      <c r="C101" s="230" t="s">
        <v>347</v>
      </c>
      <c r="D101" s="232">
        <v>9467</v>
      </c>
    </row>
    <row r="102" spans="1:4" ht="15" thickBot="1" x14ac:dyDescent="0.35">
      <c r="A102" s="252"/>
      <c r="B102" s="254"/>
      <c r="C102" s="231" t="s">
        <v>348</v>
      </c>
      <c r="D102" s="233">
        <v>707.5145</v>
      </c>
    </row>
    <row r="103" spans="1:4" x14ac:dyDescent="0.3">
      <c r="A103" s="251" t="s">
        <v>344</v>
      </c>
      <c r="B103" s="253" t="s">
        <v>345</v>
      </c>
      <c r="C103" s="230" t="s">
        <v>347</v>
      </c>
      <c r="D103" s="232">
        <v>13653</v>
      </c>
    </row>
    <row r="104" spans="1:4" ht="15" thickBot="1" x14ac:dyDescent="0.35">
      <c r="A104" s="252"/>
      <c r="B104" s="254"/>
      <c r="C104" s="231" t="s">
        <v>348</v>
      </c>
      <c r="D104" s="233">
        <v>1012</v>
      </c>
    </row>
    <row r="105" spans="1:4" x14ac:dyDescent="0.3">
      <c r="A105" s="35" t="s">
        <v>340</v>
      </c>
      <c r="B105" s="35"/>
      <c r="C105" s="36"/>
      <c r="D105" s="36">
        <f>SUM(D101:D104)</f>
        <v>24839.514499999997</v>
      </c>
    </row>
  </sheetData>
  <mergeCells count="14">
    <mergeCell ref="H3:M3"/>
    <mergeCell ref="H4:M4"/>
    <mergeCell ref="H2:M2"/>
    <mergeCell ref="H1:M1"/>
    <mergeCell ref="A101:A102"/>
    <mergeCell ref="B101:B102"/>
    <mergeCell ref="A103:A104"/>
    <mergeCell ref="B103:B104"/>
    <mergeCell ref="E6:E7"/>
    <mergeCell ref="C57:Q57"/>
    <mergeCell ref="D63:Q63"/>
    <mergeCell ref="D65:Q65"/>
    <mergeCell ref="D81:G81"/>
    <mergeCell ref="D82:G82"/>
  </mergeCells>
  <pageMargins left="0.70866141732283472" right="0.70866141732283472" top="0.74803149606299213" bottom="0.7480314960629921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Q106"/>
  <sheetViews>
    <sheetView zoomScaleNormal="100" workbookViewId="0">
      <selection sqref="A1:D4"/>
    </sheetView>
  </sheetViews>
  <sheetFormatPr defaultRowHeight="14.4" x14ac:dyDescent="0.3"/>
  <cols>
    <col min="1" max="1" width="14.88671875" customWidth="1"/>
    <col min="2" max="2" width="12.88671875" bestFit="1" customWidth="1"/>
    <col min="3" max="3" width="10.44140625" bestFit="1" customWidth="1"/>
    <col min="4" max="4" width="54.5546875" customWidth="1"/>
    <col min="11" max="11" width="13" customWidth="1"/>
    <col min="12" max="13" width="9.33203125" bestFit="1" customWidth="1"/>
  </cols>
  <sheetData>
    <row r="1" spans="1:15" ht="15.6" x14ac:dyDescent="0.3">
      <c r="A1" s="260" t="s">
        <v>356</v>
      </c>
      <c r="B1" s="260"/>
      <c r="C1" s="260"/>
      <c r="D1" s="260"/>
    </row>
    <row r="2" spans="1:15" ht="15.6" x14ac:dyDescent="0.3">
      <c r="A2" s="261" t="s">
        <v>357</v>
      </c>
      <c r="B2" s="261"/>
      <c r="C2" s="261"/>
      <c r="D2" s="261"/>
    </row>
    <row r="3" spans="1:15" ht="15.6" x14ac:dyDescent="0.3">
      <c r="A3" s="262" t="s">
        <v>358</v>
      </c>
      <c r="B3" s="262"/>
      <c r="C3" s="262"/>
      <c r="D3" s="262"/>
    </row>
    <row r="4" spans="1:15" ht="15.6" x14ac:dyDescent="0.3">
      <c r="A4" s="263"/>
      <c r="B4" s="266"/>
      <c r="C4" s="267" t="s">
        <v>359</v>
      </c>
      <c r="D4" s="266"/>
    </row>
    <row r="5" spans="1:15" x14ac:dyDescent="0.3">
      <c r="C5" s="2"/>
      <c r="D5" s="2"/>
      <c r="E5" s="2"/>
      <c r="K5" s="3" t="s">
        <v>0</v>
      </c>
      <c r="L5" s="4" t="s">
        <v>337</v>
      </c>
      <c r="M5" t="s">
        <v>339</v>
      </c>
      <c r="O5" s="5"/>
    </row>
    <row r="6" spans="1:15" ht="15" thickBot="1" x14ac:dyDescent="0.35">
      <c r="B6" s="6">
        <f>((A17/B9+B13)*B11+B15)/12</f>
        <v>1695.1863392216503</v>
      </c>
      <c r="C6" s="7" t="s">
        <v>1</v>
      </c>
      <c r="D6" s="8" t="s">
        <v>351</v>
      </c>
      <c r="E6" s="256" t="s">
        <v>2</v>
      </c>
      <c r="H6" s="9" t="s">
        <v>3</v>
      </c>
      <c r="I6" s="10">
        <f>B6/B11</f>
        <v>7.0049022281886373</v>
      </c>
      <c r="K6" s="11">
        <f>I6*B11</f>
        <v>1695.1863392216503</v>
      </c>
      <c r="L6" s="12">
        <f>K6/21</f>
        <v>80.723159010554781</v>
      </c>
      <c r="M6" s="15">
        <f>L6/6</f>
        <v>13.453859835092464</v>
      </c>
      <c r="O6" s="5"/>
    </row>
    <row r="7" spans="1:15" x14ac:dyDescent="0.3">
      <c r="B7" s="9" t="s">
        <v>4</v>
      </c>
      <c r="C7" s="7"/>
      <c r="D7" s="13">
        <v>12</v>
      </c>
      <c r="E7" s="256"/>
      <c r="H7" s="9" t="s">
        <v>5</v>
      </c>
      <c r="I7" s="14">
        <f>I6*1.21</f>
        <v>8.4759316961082511</v>
      </c>
      <c r="K7" s="11">
        <f>I7*B11</f>
        <v>2051.1754704581967</v>
      </c>
      <c r="L7" s="12">
        <f>K7/21</f>
        <v>97.675022402771276</v>
      </c>
      <c r="M7" s="15">
        <f>L7/6</f>
        <v>16.279170400461879</v>
      </c>
      <c r="O7" s="5"/>
    </row>
    <row r="8" spans="1:15" x14ac:dyDescent="0.3">
      <c r="C8" s="2"/>
      <c r="D8" s="2"/>
      <c r="E8" s="2"/>
      <c r="K8" s="15"/>
      <c r="O8" s="5"/>
    </row>
    <row r="9" spans="1:15" x14ac:dyDescent="0.3">
      <c r="B9" s="16">
        <v>2401.69</v>
      </c>
      <c r="C9" t="s">
        <v>6</v>
      </c>
      <c r="D9" s="17" t="s">
        <v>7</v>
      </c>
      <c r="O9" s="5"/>
    </row>
    <row r="10" spans="1:15" ht="4.5" customHeight="1" x14ac:dyDescent="0.3">
      <c r="B10" s="18"/>
      <c r="D10" s="17"/>
      <c r="O10" s="5"/>
    </row>
    <row r="11" spans="1:15" x14ac:dyDescent="0.3">
      <c r="A11" s="19">
        <f>B11/B9</f>
        <v>0.10076237982420712</v>
      </c>
      <c r="B11" s="20">
        <v>242</v>
      </c>
      <c r="C11" t="s">
        <v>8</v>
      </c>
      <c r="D11" s="21" t="s">
        <v>9</v>
      </c>
      <c r="E11" s="21"/>
      <c r="L11" s="15"/>
    </row>
    <row r="12" spans="1:15" ht="5.25" customHeight="1" x14ac:dyDescent="0.3">
      <c r="B12" s="18"/>
      <c r="D12" s="17"/>
    </row>
    <row r="13" spans="1:15" ht="17.399999999999999" x14ac:dyDescent="0.3">
      <c r="B13" s="20">
        <f>A57</f>
        <v>0.54299768138981996</v>
      </c>
      <c r="C13" t="s">
        <v>10</v>
      </c>
      <c r="D13" s="21" t="s">
        <v>11</v>
      </c>
      <c r="L13" s="259"/>
      <c r="M13" s="259"/>
      <c r="N13" s="259"/>
    </row>
    <row r="14" spans="1:15" ht="6.75" customHeight="1" x14ac:dyDescent="0.3">
      <c r="C14" s="21"/>
      <c r="L14" s="243"/>
      <c r="M14" s="243"/>
      <c r="N14" s="243"/>
    </row>
    <row r="15" spans="1:15" ht="18.600000000000001" customHeight="1" x14ac:dyDescent="0.35">
      <c r="B15" s="237">
        <v>28</v>
      </c>
      <c r="C15" s="235" t="s">
        <v>349</v>
      </c>
      <c r="D15" s="236" t="s">
        <v>350</v>
      </c>
      <c r="L15" s="244"/>
      <c r="M15" s="245"/>
      <c r="N15" s="246"/>
    </row>
    <row r="16" spans="1:15" ht="6.75" customHeight="1" x14ac:dyDescent="0.3">
      <c r="C16" s="21"/>
      <c r="L16" s="247"/>
      <c r="M16" s="248"/>
      <c r="N16" s="247"/>
    </row>
    <row r="17" spans="1:14" ht="18" x14ac:dyDescent="0.35">
      <c r="A17" s="20">
        <f>B26+B37+B39+B43+B44+B46</f>
        <v>200301.25</v>
      </c>
      <c r="B17" t="s">
        <v>12</v>
      </c>
      <c r="C17" t="s">
        <v>13</v>
      </c>
      <c r="L17" s="249"/>
      <c r="M17" s="243"/>
      <c r="N17" s="249"/>
    </row>
    <row r="19" spans="1:14" x14ac:dyDescent="0.3">
      <c r="D19" s="17" t="s">
        <v>14</v>
      </c>
    </row>
    <row r="20" spans="1:14" x14ac:dyDescent="0.3">
      <c r="D20" s="22"/>
    </row>
    <row r="21" spans="1:14" x14ac:dyDescent="0.3">
      <c r="D21" t="s">
        <v>53</v>
      </c>
      <c r="H21" t="s">
        <v>53</v>
      </c>
    </row>
    <row r="22" spans="1:14" x14ac:dyDescent="0.3">
      <c r="D22" s="23"/>
    </row>
    <row r="23" spans="1:14" x14ac:dyDescent="0.3">
      <c r="D23" s="24" t="s">
        <v>15</v>
      </c>
    </row>
    <row r="26" spans="1:14" x14ac:dyDescent="0.3">
      <c r="B26" s="20">
        <f>C82+C85</f>
        <v>110534.08</v>
      </c>
      <c r="C26" t="s">
        <v>16</v>
      </c>
      <c r="D26" t="s">
        <v>54</v>
      </c>
    </row>
    <row r="27" spans="1:14" x14ac:dyDescent="0.3">
      <c r="B27" s="18"/>
      <c r="D27" t="s">
        <v>55</v>
      </c>
    </row>
    <row r="28" spans="1:14" x14ac:dyDescent="0.3">
      <c r="B28" s="18"/>
      <c r="D28" t="s">
        <v>56</v>
      </c>
    </row>
    <row r="29" spans="1:14" x14ac:dyDescent="0.3">
      <c r="B29" s="18"/>
      <c r="D29" t="s">
        <v>57</v>
      </c>
    </row>
    <row r="30" spans="1:14" x14ac:dyDescent="0.3">
      <c r="B30" s="18"/>
      <c r="D30" t="s">
        <v>58</v>
      </c>
    </row>
    <row r="31" spans="1:14" x14ac:dyDescent="0.3">
      <c r="B31" s="18"/>
      <c r="D31" t="s">
        <v>59</v>
      </c>
    </row>
    <row r="32" spans="1:14" x14ac:dyDescent="0.3">
      <c r="B32" s="18"/>
      <c r="D32" t="s">
        <v>60</v>
      </c>
    </row>
    <row r="33" spans="2:4" x14ac:dyDescent="0.3">
      <c r="B33" s="18"/>
      <c r="D33" t="s">
        <v>61</v>
      </c>
    </row>
    <row r="34" spans="2:4" x14ac:dyDescent="0.3">
      <c r="B34" s="18"/>
      <c r="D34" t="s">
        <v>62</v>
      </c>
    </row>
    <row r="35" spans="2:4" x14ac:dyDescent="0.3">
      <c r="B35" s="18"/>
      <c r="D35" t="s">
        <v>63</v>
      </c>
    </row>
    <row r="36" spans="2:4" x14ac:dyDescent="0.3">
      <c r="B36" s="18"/>
      <c r="D36" t="s">
        <v>64</v>
      </c>
    </row>
    <row r="37" spans="2:4" x14ac:dyDescent="0.3">
      <c r="B37" s="20">
        <f>C99</f>
        <v>89767.17</v>
      </c>
      <c r="C37" t="s">
        <v>17</v>
      </c>
      <c r="D37" t="s">
        <v>18</v>
      </c>
    </row>
    <row r="38" spans="2:4" x14ac:dyDescent="0.3">
      <c r="B38" s="18"/>
      <c r="D38" t="s">
        <v>19</v>
      </c>
    </row>
    <row r="39" spans="2:4" x14ac:dyDescent="0.3">
      <c r="B39" s="20"/>
      <c r="C39" t="s">
        <v>20</v>
      </c>
      <c r="D39" t="s">
        <v>65</v>
      </c>
    </row>
    <row r="40" spans="2:4" x14ac:dyDescent="0.3">
      <c r="B40" s="18"/>
      <c r="D40" t="s">
        <v>66</v>
      </c>
    </row>
    <row r="41" spans="2:4" x14ac:dyDescent="0.3">
      <c r="B41" s="18"/>
      <c r="D41" t="s">
        <v>67</v>
      </c>
    </row>
    <row r="42" spans="2:4" x14ac:dyDescent="0.3">
      <c r="B42" s="18"/>
      <c r="D42" t="s">
        <v>21</v>
      </c>
    </row>
    <row r="43" spans="2:4" x14ac:dyDescent="0.3">
      <c r="B43" s="20">
        <v>0</v>
      </c>
      <c r="C43" t="s">
        <v>22</v>
      </c>
      <c r="D43" t="s">
        <v>23</v>
      </c>
    </row>
    <row r="44" spans="2:4" x14ac:dyDescent="0.3">
      <c r="B44" s="20"/>
      <c r="C44" t="s">
        <v>24</v>
      </c>
      <c r="D44" t="s">
        <v>25</v>
      </c>
    </row>
    <row r="45" spans="2:4" x14ac:dyDescent="0.3">
      <c r="B45" s="20">
        <f>D106</f>
        <v>24839.514499999997</v>
      </c>
      <c r="C45" t="s">
        <v>68</v>
      </c>
      <c r="D45" t="s">
        <v>69</v>
      </c>
    </row>
    <row r="46" spans="2:4" s="2" customFormat="1" x14ac:dyDescent="0.3">
      <c r="B46" s="44"/>
      <c r="D46" s="2" t="s">
        <v>70</v>
      </c>
    </row>
    <row r="47" spans="2:4" s="2" customFormat="1" x14ac:dyDescent="0.3">
      <c r="B47" s="44"/>
      <c r="D47" s="2" t="s">
        <v>71</v>
      </c>
    </row>
    <row r="48" spans="2:4" x14ac:dyDescent="0.3">
      <c r="D48" s="2" t="s">
        <v>72</v>
      </c>
    </row>
    <row r="49" spans="1:17" x14ac:dyDescent="0.3">
      <c r="D49" s="2" t="s">
        <v>73</v>
      </c>
    </row>
    <row r="50" spans="1:17" x14ac:dyDescent="0.3">
      <c r="D50" s="2" t="s">
        <v>74</v>
      </c>
    </row>
    <row r="51" spans="1:17" x14ac:dyDescent="0.3">
      <c r="D51" s="2" t="s">
        <v>75</v>
      </c>
    </row>
    <row r="52" spans="1:17" x14ac:dyDescent="0.3">
      <c r="D52" s="2" t="s">
        <v>76</v>
      </c>
    </row>
    <row r="53" spans="1:17" x14ac:dyDescent="0.3">
      <c r="B53" s="20"/>
      <c r="C53" t="s">
        <v>77</v>
      </c>
      <c r="D53" s="2" t="s">
        <v>78</v>
      </c>
    </row>
    <row r="54" spans="1:17" x14ac:dyDescent="0.3">
      <c r="D54" s="2" t="s">
        <v>79</v>
      </c>
    </row>
    <row r="57" spans="1:17" ht="30" customHeight="1" x14ac:dyDescent="0.3">
      <c r="A57" s="25">
        <f>B63*B65/B67</f>
        <v>0.54299768138981996</v>
      </c>
      <c r="B57" t="s">
        <v>10</v>
      </c>
      <c r="C57" s="257" t="s">
        <v>26</v>
      </c>
      <c r="D57" s="257"/>
      <c r="E57" s="257"/>
      <c r="F57" s="257"/>
      <c r="G57" s="257"/>
      <c r="H57" s="257"/>
      <c r="I57" s="257"/>
      <c r="J57" s="257"/>
      <c r="K57" s="257"/>
      <c r="L57" s="257"/>
      <c r="M57" s="257"/>
      <c r="N57" s="257"/>
      <c r="O57" s="257"/>
      <c r="P57" s="257"/>
      <c r="Q57" s="257"/>
    </row>
    <row r="59" spans="1:17" x14ac:dyDescent="0.3">
      <c r="E59" s="26" t="s">
        <v>27</v>
      </c>
    </row>
    <row r="61" spans="1:17" x14ac:dyDescent="0.3">
      <c r="E61" s="26" t="s">
        <v>28</v>
      </c>
    </row>
    <row r="63" spans="1:17" ht="46.5" customHeight="1" x14ac:dyDescent="0.3">
      <c r="B63" s="27">
        <f>C95</f>
        <v>13177.165800000001</v>
      </c>
      <c r="C63" t="s">
        <v>29</v>
      </c>
      <c r="D63" s="257" t="s">
        <v>30</v>
      </c>
      <c r="E63" s="257"/>
      <c r="F63" s="257"/>
      <c r="G63" s="257"/>
      <c r="H63" s="257"/>
      <c r="I63" s="257"/>
      <c r="J63" s="257"/>
      <c r="K63" s="257"/>
      <c r="L63" s="257"/>
      <c r="M63" s="257"/>
      <c r="N63" s="257"/>
      <c r="O63" s="257"/>
      <c r="P63" s="257"/>
      <c r="Q63" s="257"/>
    </row>
    <row r="64" spans="1:17" s="2" customFormat="1" ht="7.5" customHeight="1" x14ac:dyDescent="0.3">
      <c r="D64" s="28"/>
      <c r="E64" s="28"/>
      <c r="F64" s="28"/>
      <c r="G64" s="28"/>
      <c r="H64" s="28"/>
      <c r="I64" s="28"/>
      <c r="J64" s="28"/>
      <c r="K64" s="28"/>
      <c r="L64" s="28"/>
      <c r="M64" s="28"/>
      <c r="N64" s="28"/>
      <c r="O64" s="28"/>
      <c r="P64" s="28"/>
      <c r="Q64" s="28"/>
    </row>
    <row r="65" spans="1:17" ht="32.25" customHeight="1" x14ac:dyDescent="0.3">
      <c r="B65" s="228">
        <f>(C87+C84)/Tame_SPII_2022!L2</f>
        <v>9.8967571722981332E-2</v>
      </c>
      <c r="C65" t="s">
        <v>31</v>
      </c>
      <c r="D65" s="257" t="s">
        <v>32</v>
      </c>
      <c r="E65" s="257"/>
      <c r="F65" s="257"/>
      <c r="G65" s="257"/>
      <c r="H65" s="257"/>
      <c r="I65" s="257"/>
      <c r="J65" s="257"/>
      <c r="K65" s="257"/>
      <c r="L65" s="257"/>
      <c r="M65" s="257"/>
      <c r="N65" s="257"/>
      <c r="O65" s="257"/>
      <c r="P65" s="257"/>
      <c r="Q65" s="257"/>
    </row>
    <row r="66" spans="1:17" ht="6" customHeight="1" x14ac:dyDescent="0.3"/>
    <row r="67" spans="1:17" x14ac:dyDescent="0.3">
      <c r="B67" s="20">
        <v>2401.69</v>
      </c>
      <c r="C67" t="s">
        <v>33</v>
      </c>
      <c r="D67" s="26" t="s">
        <v>34</v>
      </c>
    </row>
    <row r="70" spans="1:17" x14ac:dyDescent="0.3">
      <c r="C70" s="29"/>
      <c r="D70" s="29"/>
      <c r="E70" s="29"/>
      <c r="F70" s="29"/>
    </row>
    <row r="71" spans="1:17" x14ac:dyDescent="0.3">
      <c r="B71" s="30" t="s">
        <v>35</v>
      </c>
      <c r="C71" s="29"/>
      <c r="D71" s="29"/>
      <c r="E71" s="29"/>
      <c r="F71" s="29"/>
    </row>
    <row r="72" spans="1:17" x14ac:dyDescent="0.3">
      <c r="B72">
        <v>2224</v>
      </c>
      <c r="C72" s="18">
        <f>Komunalserviss!K20</f>
        <v>1500</v>
      </c>
      <c r="D72" s="234" t="s">
        <v>355</v>
      </c>
      <c r="E72" s="43"/>
    </row>
    <row r="73" spans="1:17" x14ac:dyDescent="0.3">
      <c r="B73">
        <v>2239</v>
      </c>
      <c r="C73" s="31">
        <f>1055+120</f>
        <v>1175</v>
      </c>
      <c r="D73" s="234" t="s">
        <v>80</v>
      </c>
    </row>
    <row r="74" spans="1:17" x14ac:dyDescent="0.3">
      <c r="A74" s="32"/>
      <c r="B74" s="32">
        <v>2241</v>
      </c>
      <c r="C74" s="33">
        <f>Tame_SPII_2022!L84</f>
        <v>600</v>
      </c>
      <c r="D74" s="34" t="s">
        <v>169</v>
      </c>
      <c r="E74" s="32"/>
      <c r="F74" s="32"/>
    </row>
    <row r="75" spans="1:17" x14ac:dyDescent="0.3">
      <c r="B75">
        <v>2243</v>
      </c>
      <c r="C75" s="31">
        <f>Komunalserviss!K26</f>
        <v>5060</v>
      </c>
      <c r="D75" s="234" t="s">
        <v>38</v>
      </c>
      <c r="E75" s="234"/>
    </row>
    <row r="76" spans="1:17" x14ac:dyDescent="0.3">
      <c r="B76">
        <v>2244</v>
      </c>
      <c r="C76" s="31">
        <f>Komunalserviss!K33</f>
        <v>2459</v>
      </c>
      <c r="D76" s="234" t="s">
        <v>39</v>
      </c>
    </row>
    <row r="77" spans="1:17" x14ac:dyDescent="0.3">
      <c r="B77">
        <v>2247</v>
      </c>
      <c r="C77" s="31">
        <f>Tame_SPII_2022!L84</f>
        <v>600</v>
      </c>
      <c r="D77" s="234" t="s">
        <v>174</v>
      </c>
    </row>
    <row r="78" spans="1:17" x14ac:dyDescent="0.3">
      <c r="B78">
        <v>2223</v>
      </c>
      <c r="C78" s="31">
        <f>(Tame_SPII_2022!M57)</f>
        <v>28900</v>
      </c>
      <c r="D78" s="234" t="s">
        <v>352</v>
      </c>
    </row>
    <row r="79" spans="1:17" x14ac:dyDescent="0.3">
      <c r="B79">
        <v>2321</v>
      </c>
      <c r="C79" s="31">
        <f>+Komunalserviss!L49</f>
        <v>19500</v>
      </c>
      <c r="D79" s="238" t="s">
        <v>353</v>
      </c>
    </row>
    <row r="80" spans="1:17" x14ac:dyDescent="0.3">
      <c r="B80">
        <v>2341</v>
      </c>
      <c r="C80" s="31">
        <f>Tame_SPII_2022!M132</f>
        <v>180</v>
      </c>
      <c r="D80" s="234" t="s">
        <v>40</v>
      </c>
    </row>
    <row r="81" spans="1:7" x14ac:dyDescent="0.3">
      <c r="B81">
        <v>2350</v>
      </c>
      <c r="C81" s="31">
        <f>Komunalserviss!K54</f>
        <v>12000</v>
      </c>
      <c r="D81" s="234" t="s">
        <v>41</v>
      </c>
    </row>
    <row r="82" spans="1:7" x14ac:dyDescent="0.3">
      <c r="A82" s="35" t="s">
        <v>42</v>
      </c>
      <c r="B82" s="35"/>
      <c r="C82" s="36">
        <f>SUM(C72:C81)</f>
        <v>71974</v>
      </c>
      <c r="D82" s="250"/>
      <c r="E82" s="250"/>
      <c r="F82" s="250"/>
      <c r="G82" s="250"/>
    </row>
    <row r="83" spans="1:7" x14ac:dyDescent="0.3">
      <c r="C83" s="37"/>
      <c r="D83" s="250"/>
      <c r="E83" s="250"/>
      <c r="F83" s="250"/>
      <c r="G83" s="250"/>
    </row>
    <row r="84" spans="1:7" x14ac:dyDescent="0.3">
      <c r="B84" s="239">
        <v>1119</v>
      </c>
      <c r="C84" s="240">
        <f>(650*4)*12*1.2359</f>
        <v>38560.080000000002</v>
      </c>
      <c r="D84" s="241" t="s">
        <v>354</v>
      </c>
      <c r="E84" s="242">
        <f>110534-C84</f>
        <v>71973.919999999998</v>
      </c>
      <c r="F84" s="234"/>
      <c r="G84" s="234"/>
    </row>
    <row r="85" spans="1:7" x14ac:dyDescent="0.3">
      <c r="A85" s="35" t="s">
        <v>44</v>
      </c>
      <c r="B85" s="35"/>
      <c r="C85" s="36">
        <f>SUM(C84:C84)</f>
        <v>38560.080000000002</v>
      </c>
      <c r="D85" s="234"/>
      <c r="E85" s="234"/>
      <c r="F85" s="234"/>
      <c r="G85" s="234"/>
    </row>
    <row r="86" spans="1:7" x14ac:dyDescent="0.3">
      <c r="C86" s="37"/>
      <c r="D86" s="234"/>
      <c r="E86" s="234"/>
      <c r="F86" s="234"/>
      <c r="G86" s="234"/>
    </row>
    <row r="87" spans="1:7" x14ac:dyDescent="0.3">
      <c r="C87" s="39">
        <f>(1777/2)*1.2359*12</f>
        <v>13177.165800000001</v>
      </c>
      <c r="D87" s="38" t="s">
        <v>51</v>
      </c>
    </row>
    <row r="88" spans="1:7" x14ac:dyDescent="0.3">
      <c r="B88">
        <v>2211</v>
      </c>
      <c r="C88" s="43"/>
      <c r="D88" t="s">
        <v>45</v>
      </c>
    </row>
    <row r="89" spans="1:7" x14ac:dyDescent="0.3">
      <c r="B89">
        <v>2219</v>
      </c>
      <c r="C89" s="43"/>
      <c r="D89" s="234" t="s">
        <v>46</v>
      </c>
    </row>
    <row r="90" spans="1:7" x14ac:dyDescent="0.3">
      <c r="B90">
        <v>2234</v>
      </c>
      <c r="D90" s="234" t="s">
        <v>47</v>
      </c>
    </row>
    <row r="91" spans="1:7" x14ac:dyDescent="0.3">
      <c r="B91">
        <v>2311</v>
      </c>
      <c r="D91" s="234" t="s">
        <v>48</v>
      </c>
    </row>
    <row r="92" spans="1:7" x14ac:dyDescent="0.3">
      <c r="B92">
        <v>2312</v>
      </c>
      <c r="C92" s="43"/>
      <c r="D92" s="234" t="s">
        <v>49</v>
      </c>
    </row>
    <row r="93" spans="1:7" x14ac:dyDescent="0.3">
      <c r="B93">
        <v>2322</v>
      </c>
      <c r="D93" s="234" t="s">
        <v>50</v>
      </c>
    </row>
    <row r="94" spans="1:7" x14ac:dyDescent="0.3">
      <c r="B94">
        <v>2390</v>
      </c>
    </row>
    <row r="95" spans="1:7" x14ac:dyDescent="0.3">
      <c r="A95" s="35" t="s">
        <v>341</v>
      </c>
      <c r="B95" s="35"/>
      <c r="C95" s="36">
        <f>SUM(C87:C94)</f>
        <v>13177.165800000001</v>
      </c>
    </row>
    <row r="97" spans="1:4" ht="28.8" x14ac:dyDescent="0.3">
      <c r="C97" s="40" t="s">
        <v>52</v>
      </c>
    </row>
    <row r="98" spans="1:4" x14ac:dyDescent="0.3">
      <c r="C98">
        <v>89767.17</v>
      </c>
    </row>
    <row r="99" spans="1:4" x14ac:dyDescent="0.3">
      <c r="C99" s="41">
        <f>SUM(C98:C98)</f>
        <v>89767.17</v>
      </c>
    </row>
    <row r="101" spans="1:4" ht="15" thickBot="1" x14ac:dyDescent="0.35">
      <c r="C101" t="s">
        <v>346</v>
      </c>
    </row>
    <row r="102" spans="1:4" x14ac:dyDescent="0.3">
      <c r="A102" s="251" t="s">
        <v>342</v>
      </c>
      <c r="B102" s="253" t="s">
        <v>343</v>
      </c>
      <c r="C102" s="230" t="s">
        <v>347</v>
      </c>
      <c r="D102" s="232">
        <v>9467</v>
      </c>
    </row>
    <row r="103" spans="1:4" ht="15" thickBot="1" x14ac:dyDescent="0.35">
      <c r="A103" s="252"/>
      <c r="B103" s="254"/>
      <c r="C103" s="231" t="s">
        <v>348</v>
      </c>
      <c r="D103" s="233">
        <v>707.5145</v>
      </c>
    </row>
    <row r="104" spans="1:4" x14ac:dyDescent="0.3">
      <c r="A104" s="251" t="s">
        <v>344</v>
      </c>
      <c r="B104" s="253" t="s">
        <v>345</v>
      </c>
      <c r="C104" s="230" t="s">
        <v>347</v>
      </c>
      <c r="D104" s="232">
        <v>13653</v>
      </c>
    </row>
    <row r="105" spans="1:4" ht="15" thickBot="1" x14ac:dyDescent="0.35">
      <c r="A105" s="252"/>
      <c r="B105" s="254"/>
      <c r="C105" s="231" t="s">
        <v>348</v>
      </c>
      <c r="D105" s="233">
        <v>1012</v>
      </c>
    </row>
    <row r="106" spans="1:4" x14ac:dyDescent="0.3">
      <c r="A106" s="35" t="s">
        <v>340</v>
      </c>
      <c r="B106" s="35"/>
      <c r="C106" s="36"/>
      <c r="D106" s="36">
        <f>SUM(D102:D105)</f>
        <v>24839.514499999997</v>
      </c>
    </row>
  </sheetData>
  <mergeCells count="14">
    <mergeCell ref="A2:D2"/>
    <mergeCell ref="A3:D3"/>
    <mergeCell ref="A1:D1"/>
    <mergeCell ref="A102:A103"/>
    <mergeCell ref="B102:B103"/>
    <mergeCell ref="A104:A105"/>
    <mergeCell ref="B104:B105"/>
    <mergeCell ref="E6:E7"/>
    <mergeCell ref="C57:Q57"/>
    <mergeCell ref="D63:Q63"/>
    <mergeCell ref="D65:Q65"/>
    <mergeCell ref="D82:G82"/>
    <mergeCell ref="D83:G83"/>
    <mergeCell ref="L13:N13"/>
  </mergeCells>
  <pageMargins left="0.70866141732283472" right="0.70866141732283472" top="0.74803149606299213" bottom="0.74803149606299213"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Q105"/>
  <sheetViews>
    <sheetView tabSelected="1" topLeftCell="F1" zoomScaleNormal="100" workbookViewId="0">
      <selection activeCell="T13" sqref="T13"/>
    </sheetView>
  </sheetViews>
  <sheetFormatPr defaultRowHeight="14.4" x14ac:dyDescent="0.3"/>
  <cols>
    <col min="1" max="1" width="14.88671875" customWidth="1"/>
    <col min="2" max="2" width="12.88671875" bestFit="1" customWidth="1"/>
    <col min="3" max="3" width="10.44140625" bestFit="1" customWidth="1"/>
    <col min="4" max="4" width="54.5546875" customWidth="1"/>
    <col min="11" max="11" width="13" customWidth="1"/>
    <col min="12" max="13" width="9.33203125" bestFit="1" customWidth="1"/>
  </cols>
  <sheetData>
    <row r="1" spans="1:15" ht="17.399999999999999" x14ac:dyDescent="0.3">
      <c r="A1" s="259" t="s">
        <v>356</v>
      </c>
      <c r="B1" s="259"/>
      <c r="C1" s="259"/>
      <c r="D1" s="259"/>
      <c r="F1" s="260" t="s">
        <v>356</v>
      </c>
      <c r="G1" s="260"/>
      <c r="H1" s="260"/>
      <c r="I1" s="260"/>
      <c r="J1" s="260"/>
      <c r="K1" s="260"/>
      <c r="L1" s="260"/>
      <c r="M1" s="260"/>
    </row>
    <row r="2" spans="1:15" ht="18.75" customHeight="1" x14ac:dyDescent="0.3">
      <c r="A2" s="255" t="s">
        <v>357</v>
      </c>
      <c r="B2" s="255"/>
      <c r="C2" s="255"/>
      <c r="D2" s="255"/>
      <c r="F2" s="261" t="s">
        <v>357</v>
      </c>
      <c r="G2" s="261"/>
      <c r="H2" s="261"/>
      <c r="I2" s="261"/>
      <c r="J2" s="261"/>
      <c r="K2" s="261"/>
      <c r="L2" s="261"/>
      <c r="M2" s="261"/>
    </row>
    <row r="3" spans="1:15" ht="17.399999999999999" x14ac:dyDescent="0.3">
      <c r="A3" s="258" t="s">
        <v>358</v>
      </c>
      <c r="B3" s="258"/>
      <c r="C3" s="258"/>
      <c r="D3" s="258"/>
      <c r="F3" s="262" t="s">
        <v>362</v>
      </c>
      <c r="G3" s="262"/>
      <c r="H3" s="262"/>
      <c r="I3" s="262"/>
      <c r="J3" s="262"/>
      <c r="K3" s="262"/>
      <c r="L3" s="262"/>
      <c r="M3" s="262"/>
    </row>
    <row r="4" spans="1:15" ht="18" x14ac:dyDescent="0.35">
      <c r="B4" s="249"/>
      <c r="C4" s="243" t="s">
        <v>359</v>
      </c>
      <c r="D4" s="249"/>
      <c r="F4" s="260" t="s">
        <v>359</v>
      </c>
      <c r="G4" s="260"/>
      <c r="H4" s="260"/>
      <c r="I4" s="260"/>
      <c r="J4" s="260"/>
      <c r="K4" s="260"/>
      <c r="L4" s="260"/>
      <c r="M4" s="260"/>
    </row>
    <row r="5" spans="1:15" x14ac:dyDescent="0.3">
      <c r="C5" s="2"/>
      <c r="D5" s="2"/>
      <c r="E5" s="2"/>
      <c r="K5" s="3" t="s">
        <v>0</v>
      </c>
      <c r="L5" s="4" t="s">
        <v>337</v>
      </c>
      <c r="M5" t="s">
        <v>339</v>
      </c>
      <c r="O5" s="5"/>
    </row>
    <row r="6" spans="1:15" ht="15" thickBot="1" x14ac:dyDescent="0.35">
      <c r="B6" s="6">
        <f>((A17/B9+B13)*B11+B15)/12</f>
        <v>533.97312030652381</v>
      </c>
      <c r="C6" s="7" t="s">
        <v>1</v>
      </c>
      <c r="D6" s="8" t="s">
        <v>351</v>
      </c>
      <c r="E6" s="256" t="s">
        <v>2</v>
      </c>
      <c r="H6" s="9" t="s">
        <v>3</v>
      </c>
      <c r="I6" s="10">
        <f>B6/B11</f>
        <v>7.0259621092963656</v>
      </c>
      <c r="K6" s="11">
        <f>I6*B11</f>
        <v>533.97312030652381</v>
      </c>
      <c r="L6" s="12">
        <f>K6/21</f>
        <v>25.4272914431678</v>
      </c>
      <c r="M6" s="15">
        <f>L6/5</f>
        <v>5.0854582886335598</v>
      </c>
      <c r="O6" s="5"/>
    </row>
    <row r="7" spans="1:15" x14ac:dyDescent="0.3">
      <c r="B7" s="9" t="s">
        <v>4</v>
      </c>
      <c r="C7" s="7"/>
      <c r="D7" s="13">
        <v>12</v>
      </c>
      <c r="E7" s="256"/>
      <c r="H7" s="9" t="s">
        <v>5</v>
      </c>
      <c r="I7" s="14">
        <f>I6*1.21</f>
        <v>8.5014141522486018</v>
      </c>
      <c r="K7" s="11">
        <f>I7*B11</f>
        <v>646.10747557089371</v>
      </c>
      <c r="L7" s="12">
        <f>K7/21</f>
        <v>30.767022646233034</v>
      </c>
      <c r="M7" s="15">
        <f>L7/5</f>
        <v>6.1534045292466066</v>
      </c>
      <c r="O7" s="5"/>
    </row>
    <row r="8" spans="1:15" x14ac:dyDescent="0.3">
      <c r="C8" s="2"/>
      <c r="D8" s="2"/>
      <c r="E8" s="2"/>
      <c r="K8" s="15"/>
      <c r="O8" s="5"/>
    </row>
    <row r="9" spans="1:15" x14ac:dyDescent="0.3">
      <c r="B9" s="16">
        <v>2401.69</v>
      </c>
      <c r="C9" t="s">
        <v>6</v>
      </c>
      <c r="D9" s="17" t="s">
        <v>7</v>
      </c>
      <c r="O9" s="5"/>
    </row>
    <row r="10" spans="1:15" ht="4.5" customHeight="1" x14ac:dyDescent="0.3">
      <c r="B10" s="18"/>
      <c r="D10" s="17"/>
      <c r="O10" s="5"/>
    </row>
    <row r="11" spans="1:15" x14ac:dyDescent="0.3">
      <c r="A11" s="19">
        <f>B11/B9</f>
        <v>3.1644383746445209E-2</v>
      </c>
      <c r="B11" s="20">
        <v>76</v>
      </c>
      <c r="C11" t="s">
        <v>8</v>
      </c>
      <c r="D11" s="21" t="s">
        <v>9</v>
      </c>
      <c r="E11" s="21"/>
      <c r="L11" s="15"/>
    </row>
    <row r="12" spans="1:15" ht="5.25" customHeight="1" x14ac:dyDescent="0.3">
      <c r="B12" s="18"/>
      <c r="D12" s="17"/>
    </row>
    <row r="13" spans="1:15" x14ac:dyDescent="0.3">
      <c r="B13" s="20">
        <f>A57</f>
        <v>0.54299768138981996</v>
      </c>
      <c r="C13" t="s">
        <v>10</v>
      </c>
      <c r="D13" s="21" t="s">
        <v>11</v>
      </c>
    </row>
    <row r="14" spans="1:15" ht="6.75" customHeight="1" x14ac:dyDescent="0.3">
      <c r="C14" s="21"/>
    </row>
    <row r="15" spans="1:15" ht="18.600000000000001" customHeight="1" x14ac:dyDescent="0.3">
      <c r="B15" s="237">
        <v>28</v>
      </c>
      <c r="C15" s="235" t="s">
        <v>349</v>
      </c>
      <c r="D15" s="236" t="s">
        <v>350</v>
      </c>
    </row>
    <row r="16" spans="1:15" ht="6.75" customHeight="1" x14ac:dyDescent="0.3">
      <c r="C16" s="21"/>
    </row>
    <row r="17" spans="1:8" x14ac:dyDescent="0.3">
      <c r="A17" s="20">
        <f>B26+B37+B39+B43+B44+B46</f>
        <v>200301.25</v>
      </c>
      <c r="B17" t="s">
        <v>12</v>
      </c>
      <c r="C17" t="s">
        <v>13</v>
      </c>
    </row>
    <row r="19" spans="1:8" x14ac:dyDescent="0.3">
      <c r="D19" s="17" t="s">
        <v>14</v>
      </c>
    </row>
    <row r="20" spans="1:8" x14ac:dyDescent="0.3">
      <c r="D20" s="22"/>
    </row>
    <row r="21" spans="1:8" x14ac:dyDescent="0.3">
      <c r="D21" t="s">
        <v>53</v>
      </c>
      <c r="H21" t="s">
        <v>53</v>
      </c>
    </row>
    <row r="22" spans="1:8" x14ac:dyDescent="0.3">
      <c r="D22" s="23"/>
    </row>
    <row r="23" spans="1:8" x14ac:dyDescent="0.3">
      <c r="D23" s="24" t="s">
        <v>15</v>
      </c>
    </row>
    <row r="26" spans="1:8" x14ac:dyDescent="0.3">
      <c r="B26" s="20">
        <f>C81+C84</f>
        <v>110534.08</v>
      </c>
      <c r="C26" t="s">
        <v>16</v>
      </c>
      <c r="D26" t="s">
        <v>54</v>
      </c>
    </row>
    <row r="27" spans="1:8" x14ac:dyDescent="0.3">
      <c r="B27" s="18"/>
      <c r="D27" t="s">
        <v>55</v>
      </c>
    </row>
    <row r="28" spans="1:8" x14ac:dyDescent="0.3">
      <c r="B28" s="18"/>
      <c r="D28" t="s">
        <v>56</v>
      </c>
    </row>
    <row r="29" spans="1:8" x14ac:dyDescent="0.3">
      <c r="B29" s="18"/>
      <c r="D29" t="s">
        <v>57</v>
      </c>
    </row>
    <row r="30" spans="1:8" x14ac:dyDescent="0.3">
      <c r="B30" s="18"/>
      <c r="D30" t="s">
        <v>58</v>
      </c>
    </row>
    <row r="31" spans="1:8" x14ac:dyDescent="0.3">
      <c r="B31" s="18"/>
      <c r="D31" t="s">
        <v>59</v>
      </c>
    </row>
    <row r="32" spans="1:8" x14ac:dyDescent="0.3">
      <c r="B32" s="18"/>
      <c r="D32" t="s">
        <v>60</v>
      </c>
    </row>
    <row r="33" spans="2:4" x14ac:dyDescent="0.3">
      <c r="B33" s="18"/>
      <c r="D33" t="s">
        <v>61</v>
      </c>
    </row>
    <row r="34" spans="2:4" x14ac:dyDescent="0.3">
      <c r="B34" s="18"/>
      <c r="D34" t="s">
        <v>62</v>
      </c>
    </row>
    <row r="35" spans="2:4" x14ac:dyDescent="0.3">
      <c r="B35" s="18"/>
      <c r="D35" t="s">
        <v>63</v>
      </c>
    </row>
    <row r="36" spans="2:4" x14ac:dyDescent="0.3">
      <c r="B36" s="18"/>
      <c r="D36" t="s">
        <v>64</v>
      </c>
    </row>
    <row r="37" spans="2:4" x14ac:dyDescent="0.3">
      <c r="B37" s="20">
        <f>C98</f>
        <v>89767.17</v>
      </c>
      <c r="C37" t="s">
        <v>17</v>
      </c>
      <c r="D37" t="s">
        <v>18</v>
      </c>
    </row>
    <row r="38" spans="2:4" x14ac:dyDescent="0.3">
      <c r="B38" s="18"/>
      <c r="D38" t="s">
        <v>19</v>
      </c>
    </row>
    <row r="39" spans="2:4" x14ac:dyDescent="0.3">
      <c r="B39" s="20"/>
      <c r="C39" t="s">
        <v>20</v>
      </c>
      <c r="D39" t="s">
        <v>65</v>
      </c>
    </row>
    <row r="40" spans="2:4" x14ac:dyDescent="0.3">
      <c r="B40" s="18"/>
      <c r="D40" t="s">
        <v>66</v>
      </c>
    </row>
    <row r="41" spans="2:4" x14ac:dyDescent="0.3">
      <c r="B41" s="18"/>
      <c r="D41" t="s">
        <v>67</v>
      </c>
    </row>
    <row r="42" spans="2:4" x14ac:dyDescent="0.3">
      <c r="B42" s="18"/>
      <c r="D42" t="s">
        <v>21</v>
      </c>
    </row>
    <row r="43" spans="2:4" x14ac:dyDescent="0.3">
      <c r="B43" s="20">
        <v>0</v>
      </c>
      <c r="C43" t="s">
        <v>22</v>
      </c>
      <c r="D43" t="s">
        <v>23</v>
      </c>
    </row>
    <row r="44" spans="2:4" x14ac:dyDescent="0.3">
      <c r="B44" s="20"/>
      <c r="C44" t="s">
        <v>24</v>
      </c>
      <c r="D44" t="s">
        <v>25</v>
      </c>
    </row>
    <row r="45" spans="2:4" x14ac:dyDescent="0.3">
      <c r="B45" s="20">
        <f>D105</f>
        <v>24839.514499999997</v>
      </c>
      <c r="C45" t="s">
        <v>68</v>
      </c>
      <c r="D45" t="s">
        <v>69</v>
      </c>
    </row>
    <row r="46" spans="2:4" s="2" customFormat="1" x14ac:dyDescent="0.3">
      <c r="B46" s="44"/>
      <c r="D46" s="2" t="s">
        <v>70</v>
      </c>
    </row>
    <row r="47" spans="2:4" s="2" customFormat="1" x14ac:dyDescent="0.3">
      <c r="B47" s="44"/>
      <c r="D47" s="2" t="s">
        <v>71</v>
      </c>
    </row>
    <row r="48" spans="2:4" x14ac:dyDescent="0.3">
      <c r="D48" s="2" t="s">
        <v>72</v>
      </c>
    </row>
    <row r="49" spans="1:17" x14ac:dyDescent="0.3">
      <c r="D49" s="2" t="s">
        <v>73</v>
      </c>
    </row>
    <row r="50" spans="1:17" x14ac:dyDescent="0.3">
      <c r="D50" s="2" t="s">
        <v>74</v>
      </c>
    </row>
    <row r="51" spans="1:17" x14ac:dyDescent="0.3">
      <c r="D51" s="2" t="s">
        <v>75</v>
      </c>
    </row>
    <row r="52" spans="1:17" x14ac:dyDescent="0.3">
      <c r="D52" s="2" t="s">
        <v>76</v>
      </c>
    </row>
    <row r="53" spans="1:17" x14ac:dyDescent="0.3">
      <c r="B53" s="20"/>
      <c r="C53" t="s">
        <v>77</v>
      </c>
      <c r="D53" s="2" t="s">
        <v>78</v>
      </c>
    </row>
    <row r="54" spans="1:17" x14ac:dyDescent="0.3">
      <c r="D54" s="2" t="s">
        <v>79</v>
      </c>
    </row>
    <row r="57" spans="1:17" ht="30" customHeight="1" x14ac:dyDescent="0.3">
      <c r="A57" s="25">
        <f>B63*B65/B67</f>
        <v>0.54299768138981996</v>
      </c>
      <c r="B57" t="s">
        <v>10</v>
      </c>
      <c r="C57" s="257" t="s">
        <v>26</v>
      </c>
      <c r="D57" s="257"/>
      <c r="E57" s="257"/>
      <c r="F57" s="257"/>
      <c r="G57" s="257"/>
      <c r="H57" s="257"/>
      <c r="I57" s="257"/>
      <c r="J57" s="257"/>
      <c r="K57" s="257"/>
      <c r="L57" s="257"/>
      <c r="M57" s="257"/>
      <c r="N57" s="257"/>
      <c r="O57" s="257"/>
      <c r="P57" s="257"/>
      <c r="Q57" s="257"/>
    </row>
    <row r="59" spans="1:17" x14ac:dyDescent="0.3">
      <c r="E59" s="26" t="s">
        <v>27</v>
      </c>
    </row>
    <row r="61" spans="1:17" x14ac:dyDescent="0.3">
      <c r="E61" s="26" t="s">
        <v>28</v>
      </c>
    </row>
    <row r="63" spans="1:17" ht="46.5" customHeight="1" x14ac:dyDescent="0.3">
      <c r="B63" s="27">
        <f>C94</f>
        <v>13177.165800000001</v>
      </c>
      <c r="C63" t="s">
        <v>29</v>
      </c>
      <c r="D63" s="257" t="s">
        <v>30</v>
      </c>
      <c r="E63" s="257"/>
      <c r="F63" s="257"/>
      <c r="G63" s="257"/>
      <c r="H63" s="257"/>
      <c r="I63" s="257"/>
      <c r="J63" s="257"/>
      <c r="K63" s="257"/>
      <c r="L63" s="257"/>
      <c r="M63" s="257"/>
      <c r="N63" s="257"/>
      <c r="O63" s="257"/>
      <c r="P63" s="257"/>
      <c r="Q63" s="257"/>
    </row>
    <row r="64" spans="1:17" s="2" customFormat="1" ht="7.5" customHeight="1" x14ac:dyDescent="0.3">
      <c r="D64" s="28"/>
      <c r="E64" s="28"/>
      <c r="F64" s="28"/>
      <c r="G64" s="28"/>
      <c r="H64" s="28"/>
      <c r="I64" s="28"/>
      <c r="J64" s="28"/>
      <c r="K64" s="28"/>
      <c r="L64" s="28"/>
      <c r="M64" s="28"/>
      <c r="N64" s="28"/>
      <c r="O64" s="28"/>
      <c r="P64" s="28"/>
      <c r="Q64" s="28"/>
    </row>
    <row r="65" spans="1:17" ht="32.25" customHeight="1" x14ac:dyDescent="0.3">
      <c r="B65" s="228">
        <f>(C86+C83)/Tame_SPII_2022!L2</f>
        <v>9.8967571722981332E-2</v>
      </c>
      <c r="C65" t="s">
        <v>31</v>
      </c>
      <c r="D65" s="257" t="s">
        <v>32</v>
      </c>
      <c r="E65" s="257"/>
      <c r="F65" s="257"/>
      <c r="G65" s="257"/>
      <c r="H65" s="257"/>
      <c r="I65" s="257"/>
      <c r="J65" s="257"/>
      <c r="K65" s="257"/>
      <c r="L65" s="257"/>
      <c r="M65" s="257"/>
      <c r="N65" s="257"/>
      <c r="O65" s="257"/>
      <c r="P65" s="257"/>
      <c r="Q65" s="257"/>
    </row>
    <row r="66" spans="1:17" ht="6" customHeight="1" x14ac:dyDescent="0.3"/>
    <row r="67" spans="1:17" x14ac:dyDescent="0.3">
      <c r="B67" s="20">
        <v>2401.69</v>
      </c>
      <c r="C67" t="s">
        <v>33</v>
      </c>
      <c r="D67" s="26" t="s">
        <v>34</v>
      </c>
    </row>
    <row r="70" spans="1:17" x14ac:dyDescent="0.3">
      <c r="C70" s="29"/>
      <c r="D70" s="29"/>
      <c r="E70" s="29"/>
      <c r="F70" s="29"/>
    </row>
    <row r="71" spans="1:17" x14ac:dyDescent="0.3">
      <c r="B71" s="30" t="s">
        <v>35</v>
      </c>
      <c r="C71" s="29"/>
      <c r="D71" s="29"/>
      <c r="E71" s="29"/>
      <c r="F71" s="29"/>
    </row>
    <row r="72" spans="1:17" x14ac:dyDescent="0.3">
      <c r="B72">
        <v>2224</v>
      </c>
      <c r="C72" s="18">
        <f>Komunalserviss!K20</f>
        <v>1500</v>
      </c>
      <c r="D72" s="234" t="s">
        <v>36</v>
      </c>
      <c r="E72" s="43"/>
    </row>
    <row r="73" spans="1:17" x14ac:dyDescent="0.3">
      <c r="B73">
        <v>2239</v>
      </c>
      <c r="C73" s="31">
        <f>1055+120</f>
        <v>1175</v>
      </c>
      <c r="D73" s="234" t="s">
        <v>80</v>
      </c>
    </row>
    <row r="74" spans="1:17" x14ac:dyDescent="0.3">
      <c r="A74" s="32"/>
      <c r="B74" s="32">
        <v>2241</v>
      </c>
      <c r="C74" s="33">
        <f>Tame_SPII_2022!L84</f>
        <v>600</v>
      </c>
      <c r="D74" s="34" t="s">
        <v>37</v>
      </c>
      <c r="E74" s="32"/>
      <c r="F74" s="32"/>
    </row>
    <row r="75" spans="1:17" x14ac:dyDescent="0.3">
      <c r="B75">
        <v>2243</v>
      </c>
      <c r="C75" s="31">
        <f>Komunalserviss!K26</f>
        <v>5060</v>
      </c>
      <c r="D75" s="234" t="s">
        <v>38</v>
      </c>
      <c r="E75" s="234"/>
    </row>
    <row r="76" spans="1:17" x14ac:dyDescent="0.3">
      <c r="B76">
        <v>2244</v>
      </c>
      <c r="C76" s="31">
        <f>Komunalserviss!K33</f>
        <v>2459</v>
      </c>
      <c r="D76" s="234" t="s">
        <v>39</v>
      </c>
    </row>
    <row r="77" spans="1:17" x14ac:dyDescent="0.3">
      <c r="B77">
        <v>2247</v>
      </c>
      <c r="C77" s="31">
        <f>Tame_SPII_2022!L84</f>
        <v>600</v>
      </c>
      <c r="D77" s="234" t="s">
        <v>169</v>
      </c>
    </row>
    <row r="78" spans="1:17" x14ac:dyDescent="0.3">
      <c r="B78">
        <v>2223</v>
      </c>
      <c r="C78" s="31">
        <f>(Tame_SPII_2022!M57+Komunalserviss!L49)</f>
        <v>48400</v>
      </c>
      <c r="D78" s="234" t="s">
        <v>338</v>
      </c>
    </row>
    <row r="79" spans="1:17" x14ac:dyDescent="0.3">
      <c r="B79">
        <v>2341</v>
      </c>
      <c r="C79" s="31">
        <f>Tame_SPII_2022!M132</f>
        <v>180</v>
      </c>
      <c r="D79" s="234" t="s">
        <v>40</v>
      </c>
    </row>
    <row r="80" spans="1:17" x14ac:dyDescent="0.3">
      <c r="B80">
        <v>2350</v>
      </c>
      <c r="C80" s="31">
        <f>Komunalserviss!K54</f>
        <v>12000</v>
      </c>
      <c r="D80" s="234" t="s">
        <v>41</v>
      </c>
    </row>
    <row r="81" spans="1:7" x14ac:dyDescent="0.3">
      <c r="A81" s="35" t="s">
        <v>42</v>
      </c>
      <c r="B81" s="35"/>
      <c r="C81" s="36">
        <f>SUM(C72:C80)</f>
        <v>71974</v>
      </c>
      <c r="D81" s="250"/>
      <c r="E81" s="250"/>
      <c r="F81" s="250"/>
      <c r="G81" s="250"/>
    </row>
    <row r="82" spans="1:7" x14ac:dyDescent="0.3">
      <c r="C82" s="37"/>
      <c r="D82" s="250"/>
      <c r="E82" s="250"/>
      <c r="F82" s="250"/>
      <c r="G82" s="250"/>
    </row>
    <row r="83" spans="1:7" x14ac:dyDescent="0.3">
      <c r="C83" s="42">
        <f>(650*4)*12*1.2359</f>
        <v>38560.080000000002</v>
      </c>
      <c r="D83" s="38" t="s">
        <v>43</v>
      </c>
      <c r="E83" s="234"/>
      <c r="F83" s="234"/>
      <c r="G83" s="234"/>
    </row>
    <row r="84" spans="1:7" x14ac:dyDescent="0.3">
      <c r="A84" s="35" t="s">
        <v>44</v>
      </c>
      <c r="B84" s="35"/>
      <c r="C84" s="36">
        <f>SUM(C83:C83)</f>
        <v>38560.080000000002</v>
      </c>
      <c r="D84" s="234"/>
      <c r="E84" s="234"/>
      <c r="F84" s="234"/>
      <c r="G84" s="234"/>
    </row>
    <row r="85" spans="1:7" x14ac:dyDescent="0.3">
      <c r="C85" s="37"/>
      <c r="D85" s="234"/>
      <c r="E85" s="234"/>
      <c r="F85" s="234"/>
      <c r="G85" s="234"/>
    </row>
    <row r="86" spans="1:7" x14ac:dyDescent="0.3">
      <c r="C86" s="39">
        <f>(1777/2)*1.2359*12</f>
        <v>13177.165800000001</v>
      </c>
      <c r="D86" s="38" t="s">
        <v>51</v>
      </c>
    </row>
    <row r="87" spans="1:7" x14ac:dyDescent="0.3">
      <c r="B87">
        <v>2211</v>
      </c>
      <c r="C87" s="43"/>
      <c r="D87" t="s">
        <v>45</v>
      </c>
    </row>
    <row r="88" spans="1:7" x14ac:dyDescent="0.3">
      <c r="B88">
        <v>2219</v>
      </c>
      <c r="C88" s="43"/>
      <c r="D88" s="234" t="s">
        <v>46</v>
      </c>
    </row>
    <row r="89" spans="1:7" x14ac:dyDescent="0.3">
      <c r="B89">
        <v>2234</v>
      </c>
      <c r="D89" s="234" t="s">
        <v>47</v>
      </c>
    </row>
    <row r="90" spans="1:7" x14ac:dyDescent="0.3">
      <c r="B90">
        <v>2311</v>
      </c>
      <c r="D90" s="234" t="s">
        <v>48</v>
      </c>
    </row>
    <row r="91" spans="1:7" x14ac:dyDescent="0.3">
      <c r="B91">
        <v>2312</v>
      </c>
      <c r="C91" s="43"/>
      <c r="D91" s="234" t="s">
        <v>49</v>
      </c>
    </row>
    <row r="92" spans="1:7" x14ac:dyDescent="0.3">
      <c r="B92">
        <v>2322</v>
      </c>
      <c r="D92" s="234" t="s">
        <v>50</v>
      </c>
    </row>
    <row r="93" spans="1:7" x14ac:dyDescent="0.3">
      <c r="B93">
        <v>2390</v>
      </c>
    </row>
    <row r="94" spans="1:7" x14ac:dyDescent="0.3">
      <c r="A94" s="35" t="s">
        <v>341</v>
      </c>
      <c r="B94" s="35"/>
      <c r="C94" s="36">
        <f>SUM(C86:C93)</f>
        <v>13177.165800000001</v>
      </c>
    </row>
    <row r="96" spans="1:7" ht="28.8" x14ac:dyDescent="0.3">
      <c r="C96" s="40" t="s">
        <v>52</v>
      </c>
    </row>
    <row r="97" spans="1:4" x14ac:dyDescent="0.3">
      <c r="C97">
        <v>89767.17</v>
      </c>
    </row>
    <row r="98" spans="1:4" x14ac:dyDescent="0.3">
      <c r="C98" s="41">
        <f>SUM(C97:C97)</f>
        <v>89767.17</v>
      </c>
    </row>
    <row r="100" spans="1:4" ht="15" thickBot="1" x14ac:dyDescent="0.35">
      <c r="C100" t="s">
        <v>346</v>
      </c>
    </row>
    <row r="101" spans="1:4" x14ac:dyDescent="0.3">
      <c r="A101" s="251" t="s">
        <v>342</v>
      </c>
      <c r="B101" s="253" t="s">
        <v>343</v>
      </c>
      <c r="C101" s="230" t="s">
        <v>347</v>
      </c>
      <c r="D101" s="232">
        <v>9467</v>
      </c>
    </row>
    <row r="102" spans="1:4" ht="15" thickBot="1" x14ac:dyDescent="0.35">
      <c r="A102" s="252"/>
      <c r="B102" s="254"/>
      <c r="C102" s="231" t="s">
        <v>348</v>
      </c>
      <c r="D102" s="233">
        <v>707.5145</v>
      </c>
    </row>
    <row r="103" spans="1:4" x14ac:dyDescent="0.3">
      <c r="A103" s="251" t="s">
        <v>344</v>
      </c>
      <c r="B103" s="253" t="s">
        <v>345</v>
      </c>
      <c r="C103" s="230" t="s">
        <v>347</v>
      </c>
      <c r="D103" s="232">
        <v>13653</v>
      </c>
    </row>
    <row r="104" spans="1:4" ht="15" thickBot="1" x14ac:dyDescent="0.35">
      <c r="A104" s="252"/>
      <c r="B104" s="254"/>
      <c r="C104" s="231" t="s">
        <v>348</v>
      </c>
      <c r="D104" s="233">
        <v>1012</v>
      </c>
    </row>
    <row r="105" spans="1:4" x14ac:dyDescent="0.3">
      <c r="A105" s="35" t="s">
        <v>340</v>
      </c>
      <c r="B105" s="35"/>
      <c r="C105" s="36"/>
      <c r="D105" s="36">
        <f>SUM(D101:D104)</f>
        <v>24839.514499999997</v>
      </c>
    </row>
  </sheetData>
  <mergeCells count="17">
    <mergeCell ref="F4:M4"/>
    <mergeCell ref="A1:D1"/>
    <mergeCell ref="A2:D2"/>
    <mergeCell ref="A3:D3"/>
    <mergeCell ref="F2:M2"/>
    <mergeCell ref="F1:M1"/>
    <mergeCell ref="F3:M3"/>
    <mergeCell ref="A101:A102"/>
    <mergeCell ref="B101:B102"/>
    <mergeCell ref="A103:A104"/>
    <mergeCell ref="B103:B104"/>
    <mergeCell ref="E6:E7"/>
    <mergeCell ref="C57:Q57"/>
    <mergeCell ref="D63:Q63"/>
    <mergeCell ref="D65:Q65"/>
    <mergeCell ref="D81:G81"/>
    <mergeCell ref="D82:G82"/>
  </mergeCells>
  <pageMargins left="0.70866141732283472" right="0.70866141732283472" top="0.74803149606299213" bottom="0.74803149606299213" header="0.31496062992125984" footer="0.31496062992125984"/>
  <pageSetup paperSize="9" scale="6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G184"/>
  <sheetViews>
    <sheetView topLeftCell="A77" workbookViewId="0">
      <selection activeCell="G93" sqref="G93"/>
    </sheetView>
  </sheetViews>
  <sheetFormatPr defaultRowHeight="14.4" outlineLevelCol="1" x14ac:dyDescent="0.3"/>
  <cols>
    <col min="1" max="1" width="5.88671875" style="66" customWidth="1"/>
    <col min="2" max="2" width="12.44140625" style="176" customWidth="1"/>
    <col min="3" max="3" width="3.88671875" style="177" customWidth="1"/>
    <col min="4" max="4" width="5.88671875" style="178" customWidth="1"/>
    <col min="5" max="5" width="9.88671875" style="59" customWidth="1"/>
    <col min="6" max="6" width="6.33203125" style="179" customWidth="1"/>
    <col min="7" max="7" width="34.109375" style="59" customWidth="1"/>
    <col min="8" max="8" width="9.5546875" style="180" customWidth="1" outlineLevel="1"/>
    <col min="9" max="9" width="10.6640625" style="164" customWidth="1" outlineLevel="1"/>
    <col min="10" max="10" width="8.5546875" style="181" customWidth="1" outlineLevel="1"/>
    <col min="11" max="11" width="3.33203125" style="182" customWidth="1"/>
    <col min="12" max="12" width="10.6640625" style="164" customWidth="1"/>
    <col min="13" max="13" width="12.6640625" style="183" customWidth="1"/>
    <col min="14" max="14" width="46.33203125" style="184" customWidth="1" outlineLevel="1"/>
    <col min="15" max="15" width="13.33203125" customWidth="1"/>
  </cols>
  <sheetData>
    <row r="1" spans="1:59" ht="43.2" customHeight="1" x14ac:dyDescent="0.3">
      <c r="A1" s="45" t="s">
        <v>81</v>
      </c>
      <c r="B1" s="46" t="s">
        <v>82</v>
      </c>
      <c r="C1" s="47" t="s">
        <v>83</v>
      </c>
      <c r="D1" s="48" t="s">
        <v>84</v>
      </c>
      <c r="E1" s="49" t="s">
        <v>85</v>
      </c>
      <c r="F1" s="50" t="s">
        <v>35</v>
      </c>
      <c r="G1" s="51" t="s">
        <v>86</v>
      </c>
      <c r="H1" s="52" t="s">
        <v>87</v>
      </c>
      <c r="I1" s="53" t="s">
        <v>88</v>
      </c>
      <c r="J1" s="54" t="s">
        <v>89</v>
      </c>
      <c r="K1" s="55" t="s">
        <v>90</v>
      </c>
      <c r="L1" s="56" t="s">
        <v>91</v>
      </c>
      <c r="M1" s="57" t="s">
        <v>92</v>
      </c>
      <c r="N1" s="58"/>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row>
    <row r="2" spans="1:59" x14ac:dyDescent="0.3">
      <c r="A2" s="60"/>
      <c r="B2" s="60" t="s">
        <v>93</v>
      </c>
      <c r="C2" s="60" t="s">
        <v>94</v>
      </c>
      <c r="D2" s="60">
        <v>902</v>
      </c>
      <c r="E2" s="60" t="s">
        <v>95</v>
      </c>
      <c r="F2" s="61">
        <v>1119</v>
      </c>
      <c r="G2" s="62" t="s">
        <v>96</v>
      </c>
      <c r="H2" s="63">
        <v>319675</v>
      </c>
      <c r="I2" s="63"/>
      <c r="J2" s="64">
        <v>195274</v>
      </c>
      <c r="K2" s="65"/>
      <c r="L2" s="63">
        <f>SUM(M3:M4)</f>
        <v>522769.68000000005</v>
      </c>
      <c r="M2" s="63"/>
      <c r="N2" s="66" t="s">
        <v>97</v>
      </c>
    </row>
    <row r="3" spans="1:59" x14ac:dyDescent="0.3">
      <c r="A3" s="67"/>
      <c r="B3" s="67" t="s">
        <v>93</v>
      </c>
      <c r="C3" s="67" t="s">
        <v>94</v>
      </c>
      <c r="D3" s="67"/>
      <c r="E3" s="67" t="s">
        <v>95</v>
      </c>
      <c r="F3" s="68">
        <v>1119</v>
      </c>
      <c r="G3" s="69" t="s">
        <v>93</v>
      </c>
      <c r="H3" s="70"/>
      <c r="I3" s="70"/>
      <c r="J3" s="71"/>
      <c r="K3" s="72"/>
      <c r="L3" s="70"/>
      <c r="M3" s="70">
        <f>[1]Algas_2022!C76</f>
        <v>522769.68000000005</v>
      </c>
      <c r="N3"/>
    </row>
    <row r="4" spans="1:59" x14ac:dyDescent="0.3">
      <c r="A4" s="67"/>
      <c r="B4" s="67" t="s">
        <v>93</v>
      </c>
      <c r="C4" s="67" t="s">
        <v>94</v>
      </c>
      <c r="D4" s="67"/>
      <c r="E4" s="67" t="s">
        <v>95</v>
      </c>
      <c r="F4" s="68">
        <v>1119</v>
      </c>
      <c r="G4" s="69"/>
      <c r="H4" s="70"/>
      <c r="I4" s="70"/>
      <c r="J4" s="71"/>
      <c r="K4" s="72"/>
      <c r="L4" s="70"/>
      <c r="M4" s="70"/>
      <c r="N4"/>
    </row>
    <row r="5" spans="1:59" x14ac:dyDescent="0.3">
      <c r="A5" s="60"/>
      <c r="B5" s="60" t="s">
        <v>98</v>
      </c>
      <c r="C5" s="73" t="s">
        <v>99</v>
      </c>
      <c r="D5" s="60">
        <v>902</v>
      </c>
      <c r="E5" s="60" t="s">
        <v>95</v>
      </c>
      <c r="F5" s="61">
        <v>1119</v>
      </c>
      <c r="G5" s="62" t="s">
        <v>100</v>
      </c>
      <c r="H5" s="74">
        <f>19830/1.2359*1</f>
        <v>16044.987458532243</v>
      </c>
      <c r="I5" s="75"/>
      <c r="J5" s="64"/>
      <c r="K5" s="65"/>
      <c r="L5" s="74">
        <f>SUM(M6:M7)</f>
        <v>27891.120000000003</v>
      </c>
      <c r="M5" s="63"/>
      <c r="N5"/>
    </row>
    <row r="6" spans="1:59" x14ac:dyDescent="0.3">
      <c r="A6" s="67"/>
      <c r="B6" s="67" t="s">
        <v>98</v>
      </c>
      <c r="C6" s="67" t="s">
        <v>99</v>
      </c>
      <c r="D6" s="67"/>
      <c r="E6" s="67" t="s">
        <v>95</v>
      </c>
      <c r="F6" s="68">
        <v>1119</v>
      </c>
      <c r="G6" s="69" t="s">
        <v>93</v>
      </c>
      <c r="H6" s="70"/>
      <c r="I6" s="76"/>
      <c r="J6" s="71"/>
      <c r="K6" s="72"/>
      <c r="L6" s="70"/>
      <c r="M6" s="70">
        <f>[1]Algas_2022!C77</f>
        <v>27891.120000000003</v>
      </c>
      <c r="N6"/>
    </row>
    <row r="7" spans="1:59" x14ac:dyDescent="0.3">
      <c r="A7" s="67"/>
      <c r="B7" s="67" t="s">
        <v>98</v>
      </c>
      <c r="C7" s="67" t="s">
        <v>99</v>
      </c>
      <c r="D7" s="67"/>
      <c r="E7" s="67" t="s">
        <v>95</v>
      </c>
      <c r="F7" s="68">
        <v>1119</v>
      </c>
      <c r="G7" s="69"/>
      <c r="H7" s="70"/>
      <c r="I7" s="76"/>
      <c r="J7" s="71"/>
      <c r="K7" s="72"/>
      <c r="L7" s="70"/>
      <c r="M7" s="70"/>
      <c r="N7"/>
    </row>
    <row r="8" spans="1:59" x14ac:dyDescent="0.3">
      <c r="A8" s="60"/>
      <c r="B8" s="60" t="s">
        <v>93</v>
      </c>
      <c r="C8" s="60" t="s">
        <v>94</v>
      </c>
      <c r="D8" s="60">
        <v>902</v>
      </c>
      <c r="E8" s="60" t="s">
        <v>95</v>
      </c>
      <c r="F8" s="61">
        <v>1141</v>
      </c>
      <c r="G8" s="62" t="s">
        <v>101</v>
      </c>
      <c r="H8" s="63"/>
      <c r="I8" s="63"/>
      <c r="J8" s="64"/>
      <c r="K8" s="65"/>
      <c r="L8" s="63">
        <f>M9</f>
        <v>0</v>
      </c>
      <c r="M8" s="63"/>
      <c r="N8"/>
    </row>
    <row r="9" spans="1:59" x14ac:dyDescent="0.3">
      <c r="A9" s="67"/>
      <c r="B9" s="67" t="s">
        <v>93</v>
      </c>
      <c r="C9" s="67" t="s">
        <v>94</v>
      </c>
      <c r="D9" s="67"/>
      <c r="E9" s="67" t="s">
        <v>95</v>
      </c>
      <c r="F9" s="68">
        <v>1141</v>
      </c>
      <c r="G9" s="77"/>
      <c r="H9" s="78"/>
      <c r="I9" s="78"/>
      <c r="J9" s="79"/>
      <c r="K9" s="80"/>
      <c r="L9" s="78"/>
      <c r="M9" s="78"/>
      <c r="N9"/>
    </row>
    <row r="10" spans="1:59" ht="20.399999999999999" x14ac:dyDescent="0.3">
      <c r="A10" s="60"/>
      <c r="B10" s="60" t="s">
        <v>93</v>
      </c>
      <c r="C10" s="60" t="s">
        <v>94</v>
      </c>
      <c r="D10" s="60">
        <v>902</v>
      </c>
      <c r="E10" s="60" t="s">
        <v>95</v>
      </c>
      <c r="F10" s="61">
        <v>1142</v>
      </c>
      <c r="G10" s="62" t="s">
        <v>102</v>
      </c>
      <c r="H10" s="63"/>
      <c r="I10" s="63"/>
      <c r="J10" s="64"/>
      <c r="K10" s="65"/>
      <c r="L10" s="63">
        <f>M11</f>
        <v>0</v>
      </c>
      <c r="M10" s="63"/>
      <c r="N10"/>
    </row>
    <row r="11" spans="1:59" x14ac:dyDescent="0.3">
      <c r="A11" s="67"/>
      <c r="B11" s="67" t="s">
        <v>93</v>
      </c>
      <c r="C11" s="67" t="s">
        <v>94</v>
      </c>
      <c r="D11" s="67"/>
      <c r="E11" s="67" t="s">
        <v>95</v>
      </c>
      <c r="F11" s="68">
        <v>1142</v>
      </c>
      <c r="G11" s="77"/>
      <c r="H11" s="78"/>
      <c r="I11" s="78"/>
      <c r="J11" s="79"/>
      <c r="K11" s="80"/>
      <c r="L11" s="78"/>
      <c r="M11" s="78"/>
      <c r="N11"/>
    </row>
    <row r="12" spans="1:59" x14ac:dyDescent="0.3">
      <c r="A12" s="60"/>
      <c r="B12" s="60" t="s">
        <v>98</v>
      </c>
      <c r="C12" s="73" t="s">
        <v>99</v>
      </c>
      <c r="D12" s="60">
        <v>902</v>
      </c>
      <c r="E12" s="60" t="s">
        <v>95</v>
      </c>
      <c r="F12" s="61">
        <v>1146</v>
      </c>
      <c r="G12" s="62"/>
      <c r="H12" s="81"/>
      <c r="I12" s="82"/>
      <c r="J12" s="83"/>
      <c r="K12" s="84"/>
      <c r="L12" s="85">
        <f>M13</f>
        <v>0</v>
      </c>
      <c r="M12" s="86"/>
      <c r="N12"/>
    </row>
    <row r="13" spans="1:59" x14ac:dyDescent="0.3">
      <c r="A13" s="67"/>
      <c r="B13" s="67" t="s">
        <v>98</v>
      </c>
      <c r="C13" s="67" t="s">
        <v>99</v>
      </c>
      <c r="D13" s="67"/>
      <c r="E13" s="67" t="s">
        <v>95</v>
      </c>
      <c r="F13" s="68">
        <v>1146</v>
      </c>
      <c r="G13" s="77"/>
      <c r="H13" s="78"/>
      <c r="I13" s="78"/>
      <c r="J13" s="79"/>
      <c r="K13" s="80"/>
      <c r="L13" s="78"/>
      <c r="M13" s="78"/>
      <c r="N13"/>
    </row>
    <row r="14" spans="1:59" x14ac:dyDescent="0.3">
      <c r="A14" s="60"/>
      <c r="B14" s="60" t="s">
        <v>98</v>
      </c>
      <c r="C14" s="73" t="s">
        <v>99</v>
      </c>
      <c r="D14" s="60">
        <v>902</v>
      </c>
      <c r="E14" s="60" t="s">
        <v>95</v>
      </c>
      <c r="F14" s="61">
        <v>1147</v>
      </c>
      <c r="G14" s="62" t="s">
        <v>103</v>
      </c>
      <c r="H14" s="74"/>
      <c r="I14" s="63"/>
      <c r="J14" s="64"/>
      <c r="K14" s="87"/>
      <c r="L14" s="88">
        <f>SUM(M15:M16)</f>
        <v>0</v>
      </c>
      <c r="M14" s="89"/>
      <c r="N14"/>
    </row>
    <row r="15" spans="1:59" x14ac:dyDescent="0.3">
      <c r="A15" s="67"/>
      <c r="B15" s="67" t="s">
        <v>98</v>
      </c>
      <c r="C15" s="67" t="s">
        <v>99</v>
      </c>
      <c r="D15" s="67"/>
      <c r="E15" s="67" t="s">
        <v>95</v>
      </c>
      <c r="F15" s="68">
        <v>1147</v>
      </c>
      <c r="G15" s="77"/>
      <c r="H15" s="70"/>
      <c r="I15" s="70"/>
      <c r="J15" s="71"/>
      <c r="K15" s="72"/>
      <c r="L15" s="70"/>
      <c r="M15" s="70"/>
      <c r="N15"/>
    </row>
    <row r="16" spans="1:59" x14ac:dyDescent="0.3">
      <c r="A16" s="67"/>
      <c r="B16" s="67" t="s">
        <v>98</v>
      </c>
      <c r="C16" s="67" t="s">
        <v>99</v>
      </c>
      <c r="D16" s="67"/>
      <c r="E16" s="67" t="s">
        <v>95</v>
      </c>
      <c r="F16" s="68">
        <v>1147</v>
      </c>
      <c r="G16" s="77"/>
      <c r="H16" s="70"/>
      <c r="I16" s="70"/>
      <c r="J16" s="71"/>
      <c r="K16" s="72"/>
      <c r="L16" s="70"/>
      <c r="M16" s="70"/>
      <c r="N16"/>
    </row>
    <row r="17" spans="1:14" x14ac:dyDescent="0.3">
      <c r="A17" s="60"/>
      <c r="B17" s="60" t="s">
        <v>93</v>
      </c>
      <c r="C17" s="73" t="s">
        <v>94</v>
      </c>
      <c r="D17" s="60">
        <v>902</v>
      </c>
      <c r="E17" s="60" t="s">
        <v>95</v>
      </c>
      <c r="F17" s="61">
        <v>1147</v>
      </c>
      <c r="G17" s="62" t="s">
        <v>104</v>
      </c>
      <c r="H17" s="89">
        <f>I18</f>
        <v>730</v>
      </c>
      <c r="I17" s="89"/>
      <c r="J17" s="90">
        <v>0</v>
      </c>
      <c r="K17" s="91"/>
      <c r="L17" s="89">
        <f>M18</f>
        <v>114247.93440000001</v>
      </c>
      <c r="M17" s="89"/>
      <c r="N17"/>
    </row>
    <row r="18" spans="1:14" x14ac:dyDescent="0.3">
      <c r="A18" s="67" t="s">
        <v>105</v>
      </c>
      <c r="B18" s="67" t="s">
        <v>93</v>
      </c>
      <c r="C18" s="67" t="s">
        <v>94</v>
      </c>
      <c r="D18" s="67"/>
      <c r="E18" s="67" t="s">
        <v>95</v>
      </c>
      <c r="F18" s="68">
        <v>1147</v>
      </c>
      <c r="G18" s="69" t="s">
        <v>93</v>
      </c>
      <c r="H18" s="70"/>
      <c r="I18" s="70">
        <v>730</v>
      </c>
      <c r="J18" s="71"/>
      <c r="K18" s="72"/>
      <c r="L18" s="70"/>
      <c r="M18" s="92">
        <f>[1]Algas_2022!C80</f>
        <v>114247.93440000001</v>
      </c>
      <c r="N18" s="93"/>
    </row>
    <row r="19" spans="1:14" x14ac:dyDescent="0.3">
      <c r="A19" s="60"/>
      <c r="B19" s="60" t="s">
        <v>98</v>
      </c>
      <c r="C19" s="73" t="s">
        <v>99</v>
      </c>
      <c r="D19" s="60">
        <v>902</v>
      </c>
      <c r="E19" s="60" t="s">
        <v>95</v>
      </c>
      <c r="F19" s="61">
        <v>1148</v>
      </c>
      <c r="G19" s="62" t="s">
        <v>106</v>
      </c>
      <c r="H19" s="88"/>
      <c r="I19" s="89"/>
      <c r="J19" s="90"/>
      <c r="K19" s="91"/>
      <c r="L19" s="88">
        <f>M20</f>
        <v>0</v>
      </c>
      <c r="M19" s="89"/>
      <c r="N19"/>
    </row>
    <row r="20" spans="1:14" x14ac:dyDescent="0.3">
      <c r="A20" s="67"/>
      <c r="B20" s="67" t="s">
        <v>98</v>
      </c>
      <c r="C20" s="67" t="s">
        <v>99</v>
      </c>
      <c r="D20" s="67"/>
      <c r="E20" s="67" t="s">
        <v>95</v>
      </c>
      <c r="F20" s="68">
        <v>1148</v>
      </c>
      <c r="G20" s="94"/>
      <c r="H20" s="95"/>
      <c r="I20" s="95"/>
      <c r="J20" s="96"/>
      <c r="K20" s="91"/>
      <c r="L20" s="95"/>
      <c r="M20" s="95"/>
      <c r="N20"/>
    </row>
    <row r="21" spans="1:14" x14ac:dyDescent="0.3">
      <c r="A21" s="97"/>
      <c r="B21" s="97" t="s">
        <v>93</v>
      </c>
      <c r="C21" s="98" t="s">
        <v>94</v>
      </c>
      <c r="D21" s="97">
        <v>902</v>
      </c>
      <c r="E21" s="97" t="s">
        <v>95</v>
      </c>
      <c r="F21" s="99">
        <v>1148</v>
      </c>
      <c r="G21" s="100" t="s">
        <v>106</v>
      </c>
      <c r="H21" s="86">
        <v>5150</v>
      </c>
      <c r="I21" s="86"/>
      <c r="J21" s="101">
        <v>2706</v>
      </c>
      <c r="K21" s="102"/>
      <c r="L21" s="86">
        <f>SUM(M22:M23)</f>
        <v>0</v>
      </c>
      <c r="M21" s="86"/>
      <c r="N21"/>
    </row>
    <row r="22" spans="1:14" x14ac:dyDescent="0.3">
      <c r="A22" s="67"/>
      <c r="B22" s="67" t="s">
        <v>93</v>
      </c>
      <c r="C22" s="67" t="s">
        <v>94</v>
      </c>
      <c r="D22" s="67"/>
      <c r="E22" s="67" t="s">
        <v>95</v>
      </c>
      <c r="F22" s="68">
        <v>1148</v>
      </c>
      <c r="G22" s="94"/>
      <c r="H22" s="78"/>
      <c r="I22" s="78"/>
      <c r="J22" s="103"/>
      <c r="K22" s="80"/>
      <c r="L22" s="78"/>
      <c r="M22" s="78"/>
      <c r="N22"/>
    </row>
    <row r="23" spans="1:14" x14ac:dyDescent="0.3">
      <c r="A23" s="67"/>
      <c r="B23" s="67" t="s">
        <v>93</v>
      </c>
      <c r="C23" s="67" t="s">
        <v>94</v>
      </c>
      <c r="D23" s="67"/>
      <c r="E23" s="67" t="s">
        <v>95</v>
      </c>
      <c r="F23" s="68">
        <v>1148</v>
      </c>
      <c r="G23" s="94"/>
      <c r="H23" s="78"/>
      <c r="I23" s="78"/>
      <c r="J23" s="103"/>
      <c r="K23" s="80"/>
      <c r="L23" s="78"/>
      <c r="M23" s="78"/>
      <c r="N23"/>
    </row>
    <row r="24" spans="1:14" ht="20.399999999999999" x14ac:dyDescent="0.3">
      <c r="A24" s="60"/>
      <c r="B24" s="60" t="s">
        <v>93</v>
      </c>
      <c r="C24" s="73" t="s">
        <v>94</v>
      </c>
      <c r="D24" s="60">
        <v>902</v>
      </c>
      <c r="E24" s="60" t="s">
        <v>95</v>
      </c>
      <c r="F24" s="61">
        <v>1149</v>
      </c>
      <c r="G24" s="62" t="s">
        <v>107</v>
      </c>
      <c r="H24" s="86">
        <v>1400</v>
      </c>
      <c r="I24" s="86"/>
      <c r="J24" s="101">
        <v>1359.31</v>
      </c>
      <c r="K24" s="84"/>
      <c r="L24" s="86">
        <f>SUM(M25:M26)</f>
        <v>0</v>
      </c>
      <c r="M24" s="86"/>
      <c r="N24"/>
    </row>
    <row r="25" spans="1:14" x14ac:dyDescent="0.3">
      <c r="A25" s="67"/>
      <c r="B25" s="67" t="s">
        <v>93</v>
      </c>
      <c r="C25" s="67" t="s">
        <v>94</v>
      </c>
      <c r="D25" s="67"/>
      <c r="E25" s="67" t="s">
        <v>95</v>
      </c>
      <c r="F25" s="68">
        <v>1149</v>
      </c>
      <c r="G25" s="94"/>
      <c r="H25" s="78"/>
      <c r="I25" s="78"/>
      <c r="J25" s="103"/>
      <c r="K25" s="80"/>
      <c r="L25" s="78"/>
      <c r="M25" s="78"/>
      <c r="N25"/>
    </row>
    <row r="26" spans="1:14" x14ac:dyDescent="0.3">
      <c r="A26" s="67"/>
      <c r="B26" s="67" t="s">
        <v>93</v>
      </c>
      <c r="C26" s="67" t="s">
        <v>94</v>
      </c>
      <c r="D26" s="67"/>
      <c r="E26" s="67" t="s">
        <v>95</v>
      </c>
      <c r="F26" s="68">
        <v>1149</v>
      </c>
      <c r="G26" s="94"/>
      <c r="H26" s="78"/>
      <c r="I26" s="78"/>
      <c r="J26" s="103"/>
      <c r="K26" s="80"/>
      <c r="L26" s="78"/>
      <c r="M26" s="78"/>
      <c r="N26"/>
    </row>
    <row r="27" spans="1:14" ht="51" x14ac:dyDescent="0.3">
      <c r="A27" s="60"/>
      <c r="B27" s="60" t="s">
        <v>108</v>
      </c>
      <c r="C27" s="73" t="s">
        <v>109</v>
      </c>
      <c r="D27" s="60">
        <v>902</v>
      </c>
      <c r="E27" s="60" t="s">
        <v>95</v>
      </c>
      <c r="F27" s="61">
        <v>1150</v>
      </c>
      <c r="G27" s="62" t="s">
        <v>110</v>
      </c>
      <c r="H27" s="89">
        <v>1000</v>
      </c>
      <c r="I27" s="89"/>
      <c r="J27" s="90">
        <v>821</v>
      </c>
      <c r="K27" s="87"/>
      <c r="L27" s="89">
        <f>M28</f>
        <v>1000</v>
      </c>
      <c r="M27" s="89"/>
      <c r="N27"/>
    </row>
    <row r="28" spans="1:14" ht="61.2" x14ac:dyDescent="0.3">
      <c r="A28" s="67"/>
      <c r="B28" s="67" t="s">
        <v>108</v>
      </c>
      <c r="C28" s="67" t="s">
        <v>109</v>
      </c>
      <c r="D28" s="67"/>
      <c r="E28" s="67" t="s">
        <v>95</v>
      </c>
      <c r="F28" s="68">
        <v>1150</v>
      </c>
      <c r="G28" s="94" t="s">
        <v>111</v>
      </c>
      <c r="H28" s="95"/>
      <c r="I28" s="95"/>
      <c r="J28" s="96"/>
      <c r="K28" s="91"/>
      <c r="L28" s="95"/>
      <c r="M28" s="95">
        <v>1000</v>
      </c>
      <c r="N28"/>
    </row>
    <row r="29" spans="1:14" x14ac:dyDescent="0.3">
      <c r="A29" s="97"/>
      <c r="B29" s="97" t="s">
        <v>93</v>
      </c>
      <c r="C29" s="97" t="s">
        <v>94</v>
      </c>
      <c r="D29" s="97">
        <v>902</v>
      </c>
      <c r="E29" s="97" t="s">
        <v>95</v>
      </c>
      <c r="F29" s="99">
        <v>1210</v>
      </c>
      <c r="G29" s="100" t="s">
        <v>112</v>
      </c>
      <c r="H29" s="89">
        <v>90255</v>
      </c>
      <c r="I29" s="104"/>
      <c r="J29" s="90">
        <v>41085</v>
      </c>
      <c r="K29" s="105"/>
      <c r="L29" s="89">
        <f>SUM(M30:M31)</f>
        <v>147298.805606398</v>
      </c>
      <c r="M29" s="89"/>
      <c r="N29"/>
    </row>
    <row r="30" spans="1:14" x14ac:dyDescent="0.3">
      <c r="A30" s="106"/>
      <c r="B30" s="106" t="s">
        <v>93</v>
      </c>
      <c r="C30" s="106" t="s">
        <v>94</v>
      </c>
      <c r="D30" s="106"/>
      <c r="E30" s="106" t="s">
        <v>95</v>
      </c>
      <c r="F30" s="107">
        <v>1210</v>
      </c>
      <c r="G30" s="108"/>
      <c r="H30" s="109"/>
      <c r="I30" s="109"/>
      <c r="J30" s="110"/>
      <c r="K30" s="91"/>
      <c r="L30" s="109"/>
      <c r="M30" s="109">
        <f>[1]Algas_2022!C82</f>
        <v>147298.805606398</v>
      </c>
      <c r="N30"/>
    </row>
    <row r="31" spans="1:14" x14ac:dyDescent="0.3">
      <c r="A31" s="67"/>
      <c r="B31" s="67" t="s">
        <v>93</v>
      </c>
      <c r="C31" s="67" t="s">
        <v>94</v>
      </c>
      <c r="D31" s="67"/>
      <c r="E31" s="67" t="s">
        <v>95</v>
      </c>
      <c r="F31" s="68">
        <v>1210</v>
      </c>
      <c r="G31" s="77"/>
      <c r="H31" s="70"/>
      <c r="I31" s="70"/>
      <c r="J31" s="71"/>
      <c r="K31" s="72"/>
      <c r="L31" s="70"/>
      <c r="M31" s="70"/>
      <c r="N31"/>
    </row>
    <row r="32" spans="1:14" x14ac:dyDescent="0.3">
      <c r="A32" s="60"/>
      <c r="B32" s="60" t="s">
        <v>98</v>
      </c>
      <c r="C32" s="73" t="s">
        <v>99</v>
      </c>
      <c r="D32" s="60">
        <v>902</v>
      </c>
      <c r="E32" s="60" t="s">
        <v>95</v>
      </c>
      <c r="F32" s="61">
        <v>1210</v>
      </c>
      <c r="G32" s="62" t="s">
        <v>113</v>
      </c>
      <c r="H32" s="105">
        <f>19830-H5</f>
        <v>3785.0125414677568</v>
      </c>
      <c r="I32" s="104"/>
      <c r="J32" s="90"/>
      <c r="K32" s="105"/>
      <c r="L32" s="88">
        <f>SUM(M33:M34)</f>
        <v>6579.5152080000007</v>
      </c>
      <c r="M32" s="89"/>
      <c r="N32"/>
    </row>
    <row r="33" spans="1:14" x14ac:dyDescent="0.3">
      <c r="A33" s="67"/>
      <c r="B33" s="67" t="s">
        <v>98</v>
      </c>
      <c r="C33" s="67" t="s">
        <v>99</v>
      </c>
      <c r="D33" s="67"/>
      <c r="E33" s="67" t="s">
        <v>95</v>
      </c>
      <c r="F33" s="68">
        <v>1210</v>
      </c>
      <c r="G33" s="77"/>
      <c r="H33" s="70"/>
      <c r="I33" s="71"/>
      <c r="J33" s="71"/>
      <c r="K33" s="105"/>
      <c r="L33" s="70"/>
      <c r="M33" s="70">
        <f>[1]Algas_2022!C83-M39</f>
        <v>6579.5152080000007</v>
      </c>
      <c r="N33"/>
    </row>
    <row r="34" spans="1:14" x14ac:dyDescent="0.3">
      <c r="A34" s="67"/>
      <c r="B34" s="67" t="s">
        <v>98</v>
      </c>
      <c r="C34" s="67" t="s">
        <v>99</v>
      </c>
      <c r="D34" s="67"/>
      <c r="E34" s="67" t="s">
        <v>95</v>
      </c>
      <c r="F34" s="68">
        <v>1210</v>
      </c>
      <c r="G34" s="77"/>
      <c r="H34" s="70"/>
      <c r="I34" s="71"/>
      <c r="J34" s="71"/>
      <c r="K34" s="105"/>
      <c r="L34" s="70"/>
      <c r="M34" s="70"/>
      <c r="N34"/>
    </row>
    <row r="35" spans="1:14" x14ac:dyDescent="0.3">
      <c r="A35" s="60"/>
      <c r="B35" s="60" t="s">
        <v>93</v>
      </c>
      <c r="C35" s="60" t="s">
        <v>94</v>
      </c>
      <c r="D35" s="60">
        <v>902</v>
      </c>
      <c r="E35" s="60" t="s">
        <v>95</v>
      </c>
      <c r="F35" s="61">
        <v>1221</v>
      </c>
      <c r="G35" s="62" t="s">
        <v>114</v>
      </c>
      <c r="H35" s="89">
        <v>5378</v>
      </c>
      <c r="I35" s="104"/>
      <c r="J35" s="90">
        <v>5647</v>
      </c>
      <c r="K35" s="105"/>
      <c r="L35" s="89">
        <f>SUBTOTAL(9,M36:M37)</f>
        <v>1960.6496305620001</v>
      </c>
      <c r="M35" s="89"/>
      <c r="N35"/>
    </row>
    <row r="36" spans="1:14" x14ac:dyDescent="0.3">
      <c r="A36" s="67"/>
      <c r="B36" s="67" t="s">
        <v>93</v>
      </c>
      <c r="C36" s="67" t="s">
        <v>94</v>
      </c>
      <c r="D36" s="67"/>
      <c r="E36" s="67" t="s">
        <v>95</v>
      </c>
      <c r="F36" s="68">
        <v>1221</v>
      </c>
      <c r="G36" s="77"/>
      <c r="H36" s="70"/>
      <c r="I36" s="70"/>
      <c r="J36" s="71"/>
      <c r="K36" s="72"/>
      <c r="L36" s="70"/>
      <c r="M36" s="70">
        <f>[1]Algas_2022!C84</f>
        <v>1960.6496305620001</v>
      </c>
      <c r="N36"/>
    </row>
    <row r="37" spans="1:14" x14ac:dyDescent="0.3">
      <c r="A37" s="67"/>
      <c r="B37" s="67" t="s">
        <v>93</v>
      </c>
      <c r="C37" s="67" t="s">
        <v>94</v>
      </c>
      <c r="D37" s="67"/>
      <c r="E37" s="67" t="s">
        <v>95</v>
      </c>
      <c r="F37" s="68">
        <v>1221</v>
      </c>
      <c r="G37" s="77"/>
      <c r="H37" s="70"/>
      <c r="I37" s="70"/>
      <c r="J37" s="71"/>
      <c r="K37" s="72"/>
      <c r="L37" s="70"/>
      <c r="M37" s="70"/>
      <c r="N37"/>
    </row>
    <row r="38" spans="1:14" x14ac:dyDescent="0.3">
      <c r="A38" s="60"/>
      <c r="B38" s="60" t="s">
        <v>98</v>
      </c>
      <c r="C38" s="60" t="s">
        <v>99</v>
      </c>
      <c r="D38" s="60">
        <v>902</v>
      </c>
      <c r="E38" s="60" t="s">
        <v>95</v>
      </c>
      <c r="F38" s="61">
        <v>1221</v>
      </c>
      <c r="G38" s="62" t="s">
        <v>114</v>
      </c>
      <c r="H38" s="105"/>
      <c r="I38" s="104"/>
      <c r="J38" s="90"/>
      <c r="K38" s="105"/>
      <c r="L38" s="105">
        <f>M39</f>
        <v>1013</v>
      </c>
      <c r="M38" s="89"/>
      <c r="N38"/>
    </row>
    <row r="39" spans="1:14" x14ac:dyDescent="0.3">
      <c r="A39" s="67"/>
      <c r="B39" s="67" t="s">
        <v>98</v>
      </c>
      <c r="C39" s="67" t="s">
        <v>99</v>
      </c>
      <c r="D39" s="67"/>
      <c r="E39" s="67" t="s">
        <v>95</v>
      </c>
      <c r="F39" s="68">
        <v>1221</v>
      </c>
      <c r="G39" s="69" t="s">
        <v>93</v>
      </c>
      <c r="H39" s="70"/>
      <c r="I39" s="76"/>
      <c r="J39" s="71"/>
      <c r="K39" s="105"/>
      <c r="L39" s="70"/>
      <c r="M39" s="70">
        <v>1013</v>
      </c>
      <c r="N39"/>
    </row>
    <row r="40" spans="1:14" x14ac:dyDescent="0.3">
      <c r="A40" s="67"/>
      <c r="B40" s="67" t="s">
        <v>98</v>
      </c>
      <c r="C40" s="67" t="s">
        <v>99</v>
      </c>
      <c r="D40" s="67"/>
      <c r="E40" s="67" t="s">
        <v>95</v>
      </c>
      <c r="F40" s="68">
        <v>1221</v>
      </c>
      <c r="G40" s="77" t="s">
        <v>115</v>
      </c>
      <c r="H40" s="70"/>
      <c r="I40" s="71"/>
      <c r="J40" s="71"/>
      <c r="K40" s="105"/>
      <c r="L40" s="70"/>
      <c r="M40" s="70"/>
      <c r="N40"/>
    </row>
    <row r="41" spans="1:14" x14ac:dyDescent="0.3">
      <c r="A41" s="60"/>
      <c r="B41" s="60" t="s">
        <v>108</v>
      </c>
      <c r="C41" s="60" t="s">
        <v>109</v>
      </c>
      <c r="D41" s="60">
        <v>902</v>
      </c>
      <c r="E41" s="60" t="s">
        <v>95</v>
      </c>
      <c r="F41" s="61">
        <v>1223</v>
      </c>
      <c r="G41" s="62" t="s">
        <v>116</v>
      </c>
      <c r="H41" s="89">
        <v>480</v>
      </c>
      <c r="I41" s="104"/>
      <c r="J41" s="90">
        <v>0</v>
      </c>
      <c r="K41" s="105"/>
      <c r="L41" s="89">
        <f>M42</f>
        <v>4320</v>
      </c>
      <c r="M41" s="89"/>
      <c r="N41"/>
    </row>
    <row r="42" spans="1:14" ht="31.8" x14ac:dyDescent="0.3">
      <c r="A42" s="67" t="s">
        <v>105</v>
      </c>
      <c r="B42" s="67" t="s">
        <v>108</v>
      </c>
      <c r="C42" s="67" t="s">
        <v>109</v>
      </c>
      <c r="D42" s="67"/>
      <c r="E42" s="67" t="s">
        <v>95</v>
      </c>
      <c r="F42" s="68">
        <v>1223</v>
      </c>
      <c r="G42" s="94" t="s">
        <v>117</v>
      </c>
      <c r="H42" s="70"/>
      <c r="I42" s="76"/>
      <c r="J42" s="71"/>
      <c r="K42" s="105"/>
      <c r="L42" s="70"/>
      <c r="M42" s="70">
        <v>4320</v>
      </c>
      <c r="N42" s="111" t="s">
        <v>118</v>
      </c>
    </row>
    <row r="43" spans="1:14" x14ac:dyDescent="0.3">
      <c r="A43" s="60"/>
      <c r="B43" s="60" t="s">
        <v>93</v>
      </c>
      <c r="C43" s="60" t="s">
        <v>94</v>
      </c>
      <c r="D43" s="60">
        <v>902</v>
      </c>
      <c r="E43" s="60" t="s">
        <v>95</v>
      </c>
      <c r="F43" s="61">
        <v>1228</v>
      </c>
      <c r="G43" s="112" t="s">
        <v>119</v>
      </c>
      <c r="H43" s="89">
        <v>600</v>
      </c>
      <c r="I43" s="89"/>
      <c r="J43" s="90">
        <v>503</v>
      </c>
      <c r="K43" s="105"/>
      <c r="L43" s="89"/>
      <c r="M43" s="89"/>
      <c r="N43"/>
    </row>
    <row r="44" spans="1:14" x14ac:dyDescent="0.3">
      <c r="A44" s="60"/>
      <c r="B44" s="60" t="s">
        <v>108</v>
      </c>
      <c r="C44" s="60" t="s">
        <v>109</v>
      </c>
      <c r="D44" s="60">
        <v>902</v>
      </c>
      <c r="E44" s="60" t="s">
        <v>95</v>
      </c>
      <c r="F44" s="61">
        <v>2111</v>
      </c>
      <c r="G44" s="62" t="s">
        <v>120</v>
      </c>
      <c r="H44" s="89">
        <v>0</v>
      </c>
      <c r="I44" s="104"/>
      <c r="J44" s="90"/>
      <c r="K44" s="105"/>
      <c r="L44" s="89">
        <f>M45</f>
        <v>0</v>
      </c>
      <c r="M44" s="89"/>
      <c r="N44"/>
    </row>
    <row r="45" spans="1:14" x14ac:dyDescent="0.3">
      <c r="A45" s="67"/>
      <c r="B45" s="67" t="s">
        <v>108</v>
      </c>
      <c r="C45" s="67" t="s">
        <v>109</v>
      </c>
      <c r="D45" s="67"/>
      <c r="E45" s="67" t="s">
        <v>95</v>
      </c>
      <c r="F45" s="68">
        <v>2111</v>
      </c>
      <c r="G45" s="94"/>
      <c r="H45" s="113"/>
      <c r="I45" s="114"/>
      <c r="J45" s="115"/>
      <c r="K45" s="116"/>
      <c r="L45" s="113"/>
      <c r="M45" s="113"/>
      <c r="N45"/>
    </row>
    <row r="46" spans="1:14" x14ac:dyDescent="0.3">
      <c r="A46" s="60"/>
      <c r="B46" s="60" t="s">
        <v>121</v>
      </c>
      <c r="C46" s="60" t="s">
        <v>109</v>
      </c>
      <c r="D46" s="60">
        <v>902</v>
      </c>
      <c r="E46" s="60" t="s">
        <v>95</v>
      </c>
      <c r="F46" s="61">
        <v>2112</v>
      </c>
      <c r="G46" s="62" t="s">
        <v>122</v>
      </c>
      <c r="H46" s="89">
        <v>250</v>
      </c>
      <c r="I46" s="104"/>
      <c r="J46" s="90">
        <v>0</v>
      </c>
      <c r="K46" s="105"/>
      <c r="L46" s="89">
        <f>M47</f>
        <v>0</v>
      </c>
      <c r="M46" s="89"/>
      <c r="N46"/>
    </row>
    <row r="47" spans="1:14" ht="51" x14ac:dyDescent="0.3">
      <c r="A47" s="67" t="s">
        <v>123</v>
      </c>
      <c r="B47" s="67" t="s">
        <v>121</v>
      </c>
      <c r="C47" s="67" t="s">
        <v>109</v>
      </c>
      <c r="D47" s="67"/>
      <c r="E47" s="67" t="s">
        <v>95</v>
      </c>
      <c r="F47" s="68">
        <v>2112</v>
      </c>
      <c r="G47" s="94" t="s">
        <v>124</v>
      </c>
      <c r="H47" s="113"/>
      <c r="I47" s="114"/>
      <c r="J47" s="115"/>
      <c r="K47" s="116"/>
      <c r="L47" s="113"/>
      <c r="M47" s="117">
        <f>980-980</f>
        <v>0</v>
      </c>
      <c r="N47" s="66" t="s">
        <v>125</v>
      </c>
    </row>
    <row r="48" spans="1:14" x14ac:dyDescent="0.3">
      <c r="A48" s="60"/>
      <c r="B48" s="60" t="s">
        <v>108</v>
      </c>
      <c r="C48" s="60" t="s">
        <v>126</v>
      </c>
      <c r="D48" s="60">
        <v>902</v>
      </c>
      <c r="E48" s="60" t="s">
        <v>95</v>
      </c>
      <c r="F48" s="61">
        <v>2210</v>
      </c>
      <c r="G48" s="62" t="s">
        <v>127</v>
      </c>
      <c r="H48" s="89">
        <v>1000</v>
      </c>
      <c r="I48" s="89"/>
      <c r="J48" s="90">
        <v>535</v>
      </c>
      <c r="K48" s="105"/>
      <c r="L48" s="89">
        <f>SUM(M49:M53)</f>
        <v>5789.08</v>
      </c>
      <c r="M48" s="89"/>
      <c r="N48"/>
    </row>
    <row r="49" spans="1:14" ht="20.399999999999999" x14ac:dyDescent="0.3">
      <c r="A49" s="67"/>
      <c r="B49" s="67" t="s">
        <v>108</v>
      </c>
      <c r="C49" s="67" t="s">
        <v>126</v>
      </c>
      <c r="D49" s="67"/>
      <c r="E49" s="67" t="s">
        <v>95</v>
      </c>
      <c r="F49" s="68">
        <v>2210</v>
      </c>
      <c r="G49" s="118" t="s">
        <v>128</v>
      </c>
      <c r="H49" s="113"/>
      <c r="I49" s="113"/>
      <c r="J49" s="115"/>
      <c r="K49" s="116"/>
      <c r="L49" s="113"/>
      <c r="M49" s="113">
        <f>205.7*12*1.1</f>
        <v>2715.24</v>
      </c>
      <c r="N49"/>
    </row>
    <row r="50" spans="1:14" x14ac:dyDescent="0.3">
      <c r="A50" s="67"/>
      <c r="B50" s="67" t="s">
        <v>108</v>
      </c>
      <c r="C50" s="67" t="s">
        <v>126</v>
      </c>
      <c r="D50" s="67"/>
      <c r="E50" s="67" t="s">
        <v>95</v>
      </c>
      <c r="F50" s="68">
        <v>2210</v>
      </c>
      <c r="G50" s="119" t="s">
        <v>129</v>
      </c>
      <c r="H50" s="113"/>
      <c r="I50" s="113"/>
      <c r="J50" s="115"/>
      <c r="K50" s="116"/>
      <c r="L50" s="113"/>
      <c r="M50" s="113">
        <v>25</v>
      </c>
      <c r="N50"/>
    </row>
    <row r="51" spans="1:14" ht="80.25" customHeight="1" x14ac:dyDescent="0.3">
      <c r="A51" s="67" t="s">
        <v>130</v>
      </c>
      <c r="B51" s="67" t="s">
        <v>108</v>
      </c>
      <c r="C51" s="67" t="s">
        <v>126</v>
      </c>
      <c r="D51" s="67"/>
      <c r="E51" s="67" t="s">
        <v>95</v>
      </c>
      <c r="F51" s="68">
        <v>2210</v>
      </c>
      <c r="G51" s="118" t="s">
        <v>131</v>
      </c>
      <c r="H51" s="113"/>
      <c r="I51" s="113"/>
      <c r="J51" s="115"/>
      <c r="K51" s="116"/>
      <c r="L51" s="113"/>
      <c r="M51" s="113">
        <v>1669.8</v>
      </c>
      <c r="N51"/>
    </row>
    <row r="52" spans="1:14" ht="67.5" customHeight="1" x14ac:dyDescent="0.3">
      <c r="A52" s="67" t="s">
        <v>130</v>
      </c>
      <c r="B52" s="67" t="s">
        <v>108</v>
      </c>
      <c r="C52" s="67" t="s">
        <v>126</v>
      </c>
      <c r="D52" s="67"/>
      <c r="E52" s="67" t="s">
        <v>95</v>
      </c>
      <c r="F52" s="68">
        <v>2210</v>
      </c>
      <c r="G52" s="118" t="s">
        <v>132</v>
      </c>
      <c r="H52" s="120"/>
      <c r="I52" s="120"/>
      <c r="J52" s="121"/>
      <c r="K52" s="122"/>
      <c r="L52" s="120"/>
      <c r="M52" s="120">
        <v>1115.04</v>
      </c>
      <c r="N52"/>
    </row>
    <row r="53" spans="1:14" ht="48" customHeight="1" x14ac:dyDescent="0.3">
      <c r="A53" s="67" t="s">
        <v>130</v>
      </c>
      <c r="B53" s="67" t="s">
        <v>108</v>
      </c>
      <c r="C53" s="67" t="s">
        <v>126</v>
      </c>
      <c r="D53" s="67"/>
      <c r="E53" s="67" t="s">
        <v>95</v>
      </c>
      <c r="F53" s="68">
        <v>2210</v>
      </c>
      <c r="G53" s="118" t="s">
        <v>133</v>
      </c>
      <c r="H53" s="120"/>
      <c r="I53" s="120"/>
      <c r="J53" s="121"/>
      <c r="K53" s="122"/>
      <c r="L53" s="120"/>
      <c r="M53" s="120">
        <v>264</v>
      </c>
      <c r="N53"/>
    </row>
    <row r="54" spans="1:14" ht="14.4" customHeight="1" x14ac:dyDescent="0.3">
      <c r="A54" s="60"/>
      <c r="B54" s="60" t="s">
        <v>108</v>
      </c>
      <c r="C54" s="60" t="s">
        <v>126</v>
      </c>
      <c r="D54" s="60">
        <v>902</v>
      </c>
      <c r="E54" s="60" t="s">
        <v>95</v>
      </c>
      <c r="F54" s="61">
        <v>2222</v>
      </c>
      <c r="G54" s="62" t="s">
        <v>134</v>
      </c>
      <c r="H54" s="89">
        <v>2000</v>
      </c>
      <c r="I54" s="89"/>
      <c r="J54" s="90">
        <v>700.1</v>
      </c>
      <c r="K54" s="105"/>
      <c r="L54" s="89">
        <f>M55</f>
        <v>7524</v>
      </c>
      <c r="M54" s="89"/>
      <c r="N54"/>
    </row>
    <row r="55" spans="1:14" ht="40.799999999999997" x14ac:dyDescent="0.3">
      <c r="A55" s="67"/>
      <c r="B55" s="67" t="s">
        <v>108</v>
      </c>
      <c r="C55" s="67" t="s">
        <v>126</v>
      </c>
      <c r="D55" s="67"/>
      <c r="E55" s="67" t="s">
        <v>95</v>
      </c>
      <c r="F55" s="68">
        <v>2222</v>
      </c>
      <c r="G55" s="94" t="s">
        <v>135</v>
      </c>
      <c r="H55" s="113"/>
      <c r="I55" s="113"/>
      <c r="J55" s="115"/>
      <c r="K55" s="116"/>
      <c r="L55" s="113"/>
      <c r="M55" s="113">
        <v>7524</v>
      </c>
      <c r="N55"/>
    </row>
    <row r="56" spans="1:14" x14ac:dyDescent="0.3">
      <c r="A56" s="60"/>
      <c r="B56" s="60" t="s">
        <v>108</v>
      </c>
      <c r="C56" s="60" t="s">
        <v>126</v>
      </c>
      <c r="D56" s="60">
        <v>902</v>
      </c>
      <c r="E56" s="60" t="s">
        <v>95</v>
      </c>
      <c r="F56" s="61">
        <v>2223</v>
      </c>
      <c r="G56" s="62" t="s">
        <v>136</v>
      </c>
      <c r="H56" s="89">
        <v>18000</v>
      </c>
      <c r="I56" s="89"/>
      <c r="J56" s="90">
        <v>17467</v>
      </c>
      <c r="K56" s="105"/>
      <c r="L56" s="89">
        <f>M57</f>
        <v>28900</v>
      </c>
      <c r="M56" s="89"/>
      <c r="N56"/>
    </row>
    <row r="57" spans="1:14" ht="40.799999999999997" x14ac:dyDescent="0.3">
      <c r="A57" s="67"/>
      <c r="B57" s="67" t="s">
        <v>108</v>
      </c>
      <c r="C57" s="67" t="s">
        <v>126</v>
      </c>
      <c r="D57" s="67"/>
      <c r="E57" s="67" t="s">
        <v>95</v>
      </c>
      <c r="F57" s="68">
        <v>2223</v>
      </c>
      <c r="G57" s="94" t="s">
        <v>137</v>
      </c>
      <c r="H57" s="113"/>
      <c r="I57" s="113"/>
      <c r="J57" s="115"/>
      <c r="K57" s="116"/>
      <c r="L57" s="113"/>
      <c r="M57" s="113">
        <v>28900</v>
      </c>
      <c r="N57"/>
    </row>
    <row r="58" spans="1:14" ht="30.6" x14ac:dyDescent="0.3">
      <c r="A58" s="60"/>
      <c r="B58" s="60" t="s">
        <v>108</v>
      </c>
      <c r="C58" s="60" t="s">
        <v>126</v>
      </c>
      <c r="D58" s="60">
        <v>902</v>
      </c>
      <c r="E58" s="60" t="s">
        <v>95</v>
      </c>
      <c r="F58" s="61">
        <v>2224</v>
      </c>
      <c r="G58" s="62" t="s">
        <v>138</v>
      </c>
      <c r="H58" s="89"/>
      <c r="I58" s="89"/>
      <c r="J58" s="90"/>
      <c r="K58" s="105"/>
      <c r="L58" s="89">
        <f>SUM(M59:M59)</f>
        <v>600</v>
      </c>
      <c r="M58" s="89"/>
      <c r="N58"/>
    </row>
    <row r="59" spans="1:14" ht="30.6" x14ac:dyDescent="0.3">
      <c r="A59" s="123"/>
      <c r="B59" s="67" t="s">
        <v>108</v>
      </c>
      <c r="C59" s="67" t="s">
        <v>126</v>
      </c>
      <c r="D59" s="67"/>
      <c r="E59" s="67" t="s">
        <v>95</v>
      </c>
      <c r="F59" s="68">
        <v>2224</v>
      </c>
      <c r="G59" s="94" t="s">
        <v>139</v>
      </c>
      <c r="H59" s="114"/>
      <c r="I59" s="113"/>
      <c r="J59" s="115"/>
      <c r="K59" s="116"/>
      <c r="L59" s="113"/>
      <c r="M59" s="113">
        <v>600</v>
      </c>
      <c r="N59"/>
    </row>
    <row r="60" spans="1:14" ht="20.399999999999999" x14ac:dyDescent="0.3">
      <c r="A60" s="60"/>
      <c r="B60" s="60" t="s">
        <v>108</v>
      </c>
      <c r="C60" s="60" t="s">
        <v>126</v>
      </c>
      <c r="D60" s="60">
        <v>902</v>
      </c>
      <c r="E60" s="60" t="s">
        <v>95</v>
      </c>
      <c r="F60" s="61">
        <v>2231</v>
      </c>
      <c r="G60" s="62" t="s">
        <v>140</v>
      </c>
      <c r="H60" s="89">
        <v>600</v>
      </c>
      <c r="I60" s="89"/>
      <c r="J60" s="90">
        <v>403</v>
      </c>
      <c r="K60" s="105"/>
      <c r="L60" s="89">
        <f>SUM(M61:M61)</f>
        <v>0</v>
      </c>
      <c r="M60" s="89"/>
      <c r="N60"/>
    </row>
    <row r="61" spans="1:14" ht="40.799999999999997" x14ac:dyDescent="0.3">
      <c r="A61" s="123" t="s">
        <v>123</v>
      </c>
      <c r="B61" s="67" t="s">
        <v>108</v>
      </c>
      <c r="C61" s="67" t="s">
        <v>126</v>
      </c>
      <c r="D61" s="67"/>
      <c r="E61" s="67" t="s">
        <v>95</v>
      </c>
      <c r="F61" s="68">
        <v>2231</v>
      </c>
      <c r="G61" s="94" t="s">
        <v>141</v>
      </c>
      <c r="H61" s="114">
        <v>0</v>
      </c>
      <c r="I61" s="113"/>
      <c r="J61" s="115"/>
      <c r="K61" s="116"/>
      <c r="L61" s="113"/>
      <c r="M61" s="117">
        <f>400-400</f>
        <v>0</v>
      </c>
      <c r="N61" t="s">
        <v>142</v>
      </c>
    </row>
    <row r="62" spans="1:14" x14ac:dyDescent="0.3">
      <c r="A62" s="60"/>
      <c r="B62" s="60" t="s">
        <v>108</v>
      </c>
      <c r="C62" s="60" t="s">
        <v>109</v>
      </c>
      <c r="D62" s="60">
        <v>902</v>
      </c>
      <c r="E62" s="60" t="s">
        <v>95</v>
      </c>
      <c r="F62" s="61">
        <v>2233</v>
      </c>
      <c r="G62" s="62" t="s">
        <v>143</v>
      </c>
      <c r="H62" s="89"/>
      <c r="I62" s="104"/>
      <c r="J62" s="90">
        <v>0</v>
      </c>
      <c r="K62" s="105"/>
      <c r="L62" s="89">
        <f>SUM(M63:M63)</f>
        <v>250.25</v>
      </c>
      <c r="M62" s="89"/>
      <c r="N62"/>
    </row>
    <row r="63" spans="1:14" ht="40.799999999999997" x14ac:dyDescent="0.3">
      <c r="A63" s="67"/>
      <c r="B63" s="67" t="s">
        <v>108</v>
      </c>
      <c r="C63" s="67" t="s">
        <v>109</v>
      </c>
      <c r="D63" s="67"/>
      <c r="E63" s="67" t="s">
        <v>95</v>
      </c>
      <c r="F63" s="68">
        <v>2233</v>
      </c>
      <c r="G63" s="118" t="s">
        <v>144</v>
      </c>
      <c r="H63" s="124"/>
      <c r="I63" s="120"/>
      <c r="J63" s="121"/>
      <c r="K63" s="122"/>
      <c r="L63" s="120"/>
      <c r="M63" s="120">
        <v>250.25</v>
      </c>
      <c r="N63"/>
    </row>
    <row r="64" spans="1:14" x14ac:dyDescent="0.3">
      <c r="A64" s="60"/>
      <c r="B64" s="60" t="s">
        <v>108</v>
      </c>
      <c r="C64" s="60" t="s">
        <v>109</v>
      </c>
      <c r="D64" s="60">
        <v>902</v>
      </c>
      <c r="E64" s="60" t="s">
        <v>95</v>
      </c>
      <c r="F64" s="61">
        <v>2233</v>
      </c>
      <c r="G64" s="62" t="s">
        <v>143</v>
      </c>
      <c r="H64" s="89">
        <v>600</v>
      </c>
      <c r="I64" s="104"/>
      <c r="J64" s="90">
        <v>0</v>
      </c>
      <c r="K64" s="105"/>
      <c r="L64" s="89">
        <f>SUM(M65:M66)</f>
        <v>150</v>
      </c>
      <c r="M64" s="89"/>
      <c r="N64"/>
    </row>
    <row r="65" spans="1:14" ht="30.6" x14ac:dyDescent="0.3">
      <c r="A65" s="67" t="s">
        <v>145</v>
      </c>
      <c r="B65" s="67" t="s">
        <v>108</v>
      </c>
      <c r="C65" s="67" t="s">
        <v>109</v>
      </c>
      <c r="D65" s="67"/>
      <c r="E65" s="67" t="s">
        <v>95</v>
      </c>
      <c r="F65" s="68">
        <v>2233</v>
      </c>
      <c r="G65" s="118" t="s">
        <v>146</v>
      </c>
      <c r="H65" s="114"/>
      <c r="I65" s="113"/>
      <c r="J65" s="115"/>
      <c r="K65" s="116"/>
      <c r="L65" s="113"/>
      <c r="M65" s="117">
        <f>460-460</f>
        <v>0</v>
      </c>
      <c r="N65" t="s">
        <v>142</v>
      </c>
    </row>
    <row r="66" spans="1:14" ht="20.399999999999999" x14ac:dyDescent="0.3">
      <c r="A66" s="67" t="s">
        <v>147</v>
      </c>
      <c r="B66" s="67" t="s">
        <v>108</v>
      </c>
      <c r="C66" s="67" t="s">
        <v>109</v>
      </c>
      <c r="D66" s="67"/>
      <c r="E66" s="67" t="s">
        <v>95</v>
      </c>
      <c r="F66" s="68">
        <v>2233</v>
      </c>
      <c r="G66" s="118" t="s">
        <v>148</v>
      </c>
      <c r="H66" s="114">
        <v>0</v>
      </c>
      <c r="I66" s="113"/>
      <c r="J66" s="115"/>
      <c r="K66" s="116"/>
      <c r="L66" s="113"/>
      <c r="M66" s="113">
        <f>300/2</f>
        <v>150</v>
      </c>
      <c r="N66" t="s">
        <v>149</v>
      </c>
    </row>
    <row r="67" spans="1:14" ht="20.399999999999999" x14ac:dyDescent="0.3">
      <c r="A67" s="125"/>
      <c r="B67" s="60" t="s">
        <v>108</v>
      </c>
      <c r="C67" s="60" t="s">
        <v>109</v>
      </c>
      <c r="D67" s="60">
        <v>902</v>
      </c>
      <c r="E67" s="60" t="s">
        <v>95</v>
      </c>
      <c r="F67" s="61">
        <v>2234</v>
      </c>
      <c r="G67" s="62" t="s">
        <v>150</v>
      </c>
      <c r="H67" s="89">
        <v>1350</v>
      </c>
      <c r="I67" s="104"/>
      <c r="J67" s="90">
        <v>108</v>
      </c>
      <c r="K67" s="105"/>
      <c r="L67" s="89">
        <f>SUM(M68:M68)</f>
        <v>6566</v>
      </c>
      <c r="M67" s="89"/>
      <c r="N67"/>
    </row>
    <row r="68" spans="1:14" ht="50.4" customHeight="1" x14ac:dyDescent="0.3">
      <c r="A68" s="126" t="s">
        <v>151</v>
      </c>
      <c r="B68" s="127" t="s">
        <v>108</v>
      </c>
      <c r="C68" s="127" t="s">
        <v>109</v>
      </c>
      <c r="D68" s="127"/>
      <c r="E68" s="67" t="s">
        <v>95</v>
      </c>
      <c r="F68" s="68">
        <v>2234</v>
      </c>
      <c r="G68" s="128" t="s">
        <v>152</v>
      </c>
      <c r="H68" s="114"/>
      <c r="I68" s="113"/>
      <c r="J68" s="115"/>
      <c r="K68" s="116"/>
      <c r="L68" s="113"/>
      <c r="M68" s="113">
        <v>6566</v>
      </c>
      <c r="N68" s="129" t="s">
        <v>153</v>
      </c>
    </row>
    <row r="69" spans="1:14" ht="20.399999999999999" x14ac:dyDescent="0.3">
      <c r="A69" s="125"/>
      <c r="B69" s="60" t="s">
        <v>108</v>
      </c>
      <c r="C69" s="60" t="s">
        <v>126</v>
      </c>
      <c r="D69" s="60">
        <v>902</v>
      </c>
      <c r="E69" s="60" t="s">
        <v>95</v>
      </c>
      <c r="F69" s="61">
        <v>2235</v>
      </c>
      <c r="G69" s="62" t="s">
        <v>154</v>
      </c>
      <c r="H69" s="89">
        <v>950</v>
      </c>
      <c r="I69" s="104"/>
      <c r="J69" s="90">
        <v>884</v>
      </c>
      <c r="K69" s="105"/>
      <c r="L69" s="89">
        <f>SUM(M70:M71)</f>
        <v>945</v>
      </c>
      <c r="M69" s="89"/>
      <c r="N69" s="130" t="s">
        <v>279</v>
      </c>
    </row>
    <row r="70" spans="1:14" ht="40.799999999999997" x14ac:dyDescent="0.3">
      <c r="A70" s="126" t="s">
        <v>155</v>
      </c>
      <c r="B70" s="127" t="s">
        <v>108</v>
      </c>
      <c r="C70" s="127" t="s">
        <v>126</v>
      </c>
      <c r="D70" s="126"/>
      <c r="E70" s="67" t="s">
        <v>95</v>
      </c>
      <c r="F70" s="68">
        <v>2235</v>
      </c>
      <c r="G70" s="94" t="s">
        <v>156</v>
      </c>
      <c r="H70" s="114"/>
      <c r="I70" s="113"/>
      <c r="J70" s="115"/>
      <c r="K70" s="116"/>
      <c r="L70" s="113"/>
      <c r="M70" s="113">
        <v>345</v>
      </c>
      <c r="N70" s="131"/>
    </row>
    <row r="71" spans="1:14" ht="40.799999999999997" x14ac:dyDescent="0.3">
      <c r="A71" s="126" t="s">
        <v>155</v>
      </c>
      <c r="B71" s="127" t="s">
        <v>108</v>
      </c>
      <c r="C71" s="127" t="s">
        <v>126</v>
      </c>
      <c r="D71" s="126"/>
      <c r="E71" s="67" t="s">
        <v>95</v>
      </c>
      <c r="F71" s="68">
        <v>2235</v>
      </c>
      <c r="G71" s="94" t="s">
        <v>157</v>
      </c>
      <c r="H71" s="124"/>
      <c r="I71" s="120"/>
      <c r="J71" s="121"/>
      <c r="K71" s="122"/>
      <c r="L71" s="120"/>
      <c r="M71" s="120">
        <v>600</v>
      </c>
      <c r="N71" s="131"/>
    </row>
    <row r="72" spans="1:14" ht="40.799999999999997" x14ac:dyDescent="0.3">
      <c r="A72" s="132" t="s">
        <v>123</v>
      </c>
      <c r="B72" s="133" t="s">
        <v>108</v>
      </c>
      <c r="C72" s="133" t="s">
        <v>126</v>
      </c>
      <c r="D72" s="134"/>
      <c r="E72" s="135" t="s">
        <v>95</v>
      </c>
      <c r="F72" s="136">
        <v>2236</v>
      </c>
      <c r="G72" s="137" t="s">
        <v>158</v>
      </c>
      <c r="H72" s="138"/>
      <c r="I72" s="139"/>
      <c r="J72" s="140"/>
      <c r="K72" s="139"/>
      <c r="L72" s="139"/>
      <c r="M72" s="139">
        <v>950</v>
      </c>
      <c r="N72" s="141"/>
    </row>
    <row r="73" spans="1:14" x14ac:dyDescent="0.3">
      <c r="A73" s="60"/>
      <c r="B73" s="60" t="s">
        <v>108</v>
      </c>
      <c r="C73" s="60" t="s">
        <v>109</v>
      </c>
      <c r="D73" s="60">
        <v>902</v>
      </c>
      <c r="E73" s="60" t="s">
        <v>95</v>
      </c>
      <c r="F73" s="61">
        <v>2239</v>
      </c>
      <c r="G73" s="62" t="s">
        <v>159</v>
      </c>
      <c r="H73" s="89">
        <v>15040</v>
      </c>
      <c r="I73" s="104"/>
      <c r="J73" s="90">
        <v>13474</v>
      </c>
      <c r="K73" s="105"/>
      <c r="L73" s="89">
        <f>SUM(M74:M77)</f>
        <v>7239</v>
      </c>
      <c r="M73" s="89"/>
      <c r="N73"/>
    </row>
    <row r="74" spans="1:14" ht="51" x14ac:dyDescent="0.3">
      <c r="A74" s="142"/>
      <c r="B74" s="133" t="s">
        <v>108</v>
      </c>
      <c r="C74" s="133" t="s">
        <v>109</v>
      </c>
      <c r="D74" s="133"/>
      <c r="E74" s="135" t="s">
        <v>95</v>
      </c>
      <c r="F74" s="136">
        <v>2239</v>
      </c>
      <c r="G74" s="137" t="s">
        <v>160</v>
      </c>
      <c r="H74" s="143"/>
      <c r="I74" s="144"/>
      <c r="J74" s="145"/>
      <c r="K74" s="144"/>
      <c r="L74" s="144"/>
      <c r="M74" s="144">
        <v>3360</v>
      </c>
      <c r="N74" s="146"/>
    </row>
    <row r="75" spans="1:14" ht="40.799999999999997" x14ac:dyDescent="0.3">
      <c r="A75" s="126" t="s">
        <v>155</v>
      </c>
      <c r="B75" s="127" t="s">
        <v>108</v>
      </c>
      <c r="C75" s="127" t="s">
        <v>109</v>
      </c>
      <c r="D75" s="127"/>
      <c r="E75" s="67" t="s">
        <v>95</v>
      </c>
      <c r="F75" s="68">
        <v>2239</v>
      </c>
      <c r="G75" s="94" t="s">
        <v>161</v>
      </c>
      <c r="H75" s="114"/>
      <c r="I75" s="113"/>
      <c r="J75" s="115"/>
      <c r="K75" s="116"/>
      <c r="L75" s="113"/>
      <c r="M75" s="113">
        <v>147</v>
      </c>
      <c r="N75"/>
    </row>
    <row r="76" spans="1:14" ht="20.399999999999999" x14ac:dyDescent="0.3">
      <c r="A76" s="126" t="s">
        <v>155</v>
      </c>
      <c r="B76" s="127" t="s">
        <v>108</v>
      </c>
      <c r="C76" s="127" t="s">
        <v>109</v>
      </c>
      <c r="D76" s="127"/>
      <c r="E76" s="67" t="s">
        <v>95</v>
      </c>
      <c r="F76" s="68">
        <v>2239</v>
      </c>
      <c r="G76" s="94" t="s">
        <v>280</v>
      </c>
      <c r="H76" s="124"/>
      <c r="I76" s="120"/>
      <c r="J76" s="121"/>
      <c r="K76" s="116"/>
      <c r="L76" s="120"/>
      <c r="M76" s="120">
        <f>75*49</f>
        <v>3675</v>
      </c>
      <c r="N76"/>
    </row>
    <row r="77" spans="1:14" ht="30.6" x14ac:dyDescent="0.3">
      <c r="A77" s="127"/>
      <c r="B77" s="127" t="s">
        <v>108</v>
      </c>
      <c r="C77" s="127" t="s">
        <v>109</v>
      </c>
      <c r="D77" s="127"/>
      <c r="E77" s="67" t="s">
        <v>95</v>
      </c>
      <c r="F77" s="68">
        <v>2239</v>
      </c>
      <c r="G77" s="94" t="s">
        <v>162</v>
      </c>
      <c r="H77" s="124"/>
      <c r="I77" s="120"/>
      <c r="J77" s="121"/>
      <c r="K77" s="116"/>
      <c r="L77" s="120"/>
      <c r="M77" s="120">
        <v>57</v>
      </c>
      <c r="N77"/>
    </row>
    <row r="78" spans="1:14" x14ac:dyDescent="0.3">
      <c r="A78" s="60"/>
      <c r="B78" s="60" t="s">
        <v>108</v>
      </c>
      <c r="C78" s="60" t="s">
        <v>126</v>
      </c>
      <c r="D78" s="60">
        <v>902</v>
      </c>
      <c r="E78" s="60" t="s">
        <v>95</v>
      </c>
      <c r="F78" s="147">
        <v>2239</v>
      </c>
      <c r="G78" s="62" t="s">
        <v>163</v>
      </c>
      <c r="H78" s="89"/>
      <c r="I78" s="104"/>
      <c r="J78" s="90"/>
      <c r="K78" s="116"/>
      <c r="L78" s="89">
        <f>SUM(M79:M80)</f>
        <v>1540</v>
      </c>
      <c r="M78" s="89"/>
      <c r="N78"/>
    </row>
    <row r="79" spans="1:14" ht="81.599999999999994" x14ac:dyDescent="0.3">
      <c r="A79" s="67" t="s">
        <v>164</v>
      </c>
      <c r="B79" s="67" t="s">
        <v>108</v>
      </c>
      <c r="C79" s="67" t="s">
        <v>126</v>
      </c>
      <c r="D79" s="67"/>
      <c r="E79" s="67" t="s">
        <v>95</v>
      </c>
      <c r="F79" s="68">
        <v>2239</v>
      </c>
      <c r="G79" s="94" t="s">
        <v>165</v>
      </c>
      <c r="H79" s="114"/>
      <c r="I79" s="113"/>
      <c r="J79" s="115"/>
      <c r="K79" s="116"/>
      <c r="L79" s="113"/>
      <c r="M79" s="113">
        <v>1260</v>
      </c>
      <c r="N79"/>
    </row>
    <row r="80" spans="1:14" ht="33" customHeight="1" x14ac:dyDescent="0.3">
      <c r="A80" s="67" t="s">
        <v>164</v>
      </c>
      <c r="B80" s="67" t="s">
        <v>108</v>
      </c>
      <c r="C80" s="67" t="s">
        <v>126</v>
      </c>
      <c r="D80" s="67"/>
      <c r="E80" s="67" t="s">
        <v>95</v>
      </c>
      <c r="F80" s="68">
        <v>2239</v>
      </c>
      <c r="G80" s="94" t="s">
        <v>166</v>
      </c>
      <c r="H80" s="124"/>
      <c r="I80" s="120"/>
      <c r="J80" s="121"/>
      <c r="K80" s="122"/>
      <c r="L80" s="120"/>
      <c r="M80" s="120">
        <v>280</v>
      </c>
      <c r="N80"/>
    </row>
    <row r="81" spans="1:14" x14ac:dyDescent="0.3">
      <c r="A81" s="60"/>
      <c r="B81" s="60" t="s">
        <v>167</v>
      </c>
      <c r="C81" s="60" t="s">
        <v>168</v>
      </c>
      <c r="D81" s="60">
        <v>902</v>
      </c>
      <c r="E81" s="60" t="s">
        <v>95</v>
      </c>
      <c r="F81" s="147">
        <v>2239</v>
      </c>
      <c r="G81" s="62" t="s">
        <v>163</v>
      </c>
      <c r="H81" s="104">
        <v>1000</v>
      </c>
      <c r="I81" s="104"/>
      <c r="J81" s="104">
        <v>1000</v>
      </c>
      <c r="K81" s="105"/>
      <c r="L81" s="89">
        <f>M82</f>
        <v>0</v>
      </c>
      <c r="M81" s="89"/>
      <c r="N81"/>
    </row>
    <row r="82" spans="1:14" x14ac:dyDescent="0.3">
      <c r="A82" s="67"/>
      <c r="B82" s="67" t="s">
        <v>167</v>
      </c>
      <c r="C82" s="67" t="s">
        <v>168</v>
      </c>
      <c r="D82" s="67"/>
      <c r="E82" s="67" t="s">
        <v>95</v>
      </c>
      <c r="F82" s="68">
        <v>2239</v>
      </c>
      <c r="G82" s="94"/>
      <c r="H82" s="114"/>
      <c r="I82" s="113"/>
      <c r="J82" s="115"/>
      <c r="K82" s="116"/>
      <c r="L82" s="113"/>
      <c r="M82" s="113"/>
      <c r="N82"/>
    </row>
    <row r="83" spans="1:14" x14ac:dyDescent="0.3">
      <c r="A83" s="67"/>
      <c r="B83" s="67" t="s">
        <v>167</v>
      </c>
      <c r="C83" s="67" t="s">
        <v>168</v>
      </c>
      <c r="D83" s="67"/>
      <c r="E83" s="67" t="s">
        <v>95</v>
      </c>
      <c r="F83" s="68">
        <v>2239</v>
      </c>
      <c r="G83" s="94"/>
      <c r="H83" s="124"/>
      <c r="I83" s="120"/>
      <c r="J83" s="121"/>
      <c r="K83" s="122"/>
      <c r="L83" s="120"/>
      <c r="M83" s="120"/>
      <c r="N83"/>
    </row>
    <row r="84" spans="1:14" x14ac:dyDescent="0.3">
      <c r="A84" s="60"/>
      <c r="B84" s="60" t="s">
        <v>108</v>
      </c>
      <c r="C84" s="60" t="s">
        <v>126</v>
      </c>
      <c r="D84" s="60">
        <v>902</v>
      </c>
      <c r="E84" s="60" t="s">
        <v>95</v>
      </c>
      <c r="F84" s="61">
        <v>2241</v>
      </c>
      <c r="G84" s="62" t="s">
        <v>169</v>
      </c>
      <c r="H84" s="89"/>
      <c r="I84" s="104"/>
      <c r="J84" s="90"/>
      <c r="K84" s="105"/>
      <c r="L84" s="89">
        <f>SUM(M85:M86)</f>
        <v>600</v>
      </c>
      <c r="M84" s="89"/>
      <c r="N84"/>
    </row>
    <row r="85" spans="1:14" x14ac:dyDescent="0.3">
      <c r="A85" s="127"/>
      <c r="B85" s="127" t="s">
        <v>108</v>
      </c>
      <c r="C85" s="127" t="s">
        <v>126</v>
      </c>
      <c r="D85" s="127"/>
      <c r="E85" s="67" t="s">
        <v>95</v>
      </c>
      <c r="F85" s="68">
        <v>2241</v>
      </c>
      <c r="G85" s="119" t="s">
        <v>170</v>
      </c>
      <c r="H85" s="148"/>
      <c r="I85" s="149"/>
      <c r="J85" s="149"/>
      <c r="K85" s="150"/>
      <c r="L85" s="120"/>
      <c r="M85" s="120">
        <v>600</v>
      </c>
      <c r="N85"/>
    </row>
    <row r="86" spans="1:14" x14ac:dyDescent="0.3">
      <c r="A86" s="127"/>
      <c r="B86" s="127" t="s">
        <v>108</v>
      </c>
      <c r="C86" s="127" t="s">
        <v>126</v>
      </c>
      <c r="D86" s="127"/>
      <c r="E86" s="67" t="s">
        <v>95</v>
      </c>
      <c r="F86" s="68">
        <v>2241</v>
      </c>
      <c r="G86" s="151"/>
      <c r="H86" s="148"/>
      <c r="I86" s="149"/>
      <c r="J86" s="149"/>
      <c r="K86" s="150"/>
      <c r="L86" s="120"/>
      <c r="M86" s="120"/>
      <c r="N86"/>
    </row>
    <row r="87" spans="1:14" ht="20.399999999999999" x14ac:dyDescent="0.3">
      <c r="A87" s="73"/>
      <c r="B87" s="73" t="s">
        <v>108</v>
      </c>
      <c r="C87" s="60" t="s">
        <v>126</v>
      </c>
      <c r="D87" s="60">
        <v>902</v>
      </c>
      <c r="E87" s="73" t="s">
        <v>95</v>
      </c>
      <c r="F87" s="152">
        <v>2243</v>
      </c>
      <c r="G87" s="153" t="s">
        <v>171</v>
      </c>
      <c r="H87" s="89">
        <v>150</v>
      </c>
      <c r="I87" s="104"/>
      <c r="J87" s="90"/>
      <c r="K87" s="105"/>
      <c r="L87" s="89">
        <f>SUM(M88:M89)</f>
        <v>150</v>
      </c>
      <c r="M87" s="89"/>
      <c r="N87"/>
    </row>
    <row r="88" spans="1:14" x14ac:dyDescent="0.3">
      <c r="A88" s="127"/>
      <c r="B88" s="127" t="s">
        <v>108</v>
      </c>
      <c r="C88" s="127" t="s">
        <v>126</v>
      </c>
      <c r="D88" s="67"/>
      <c r="E88" s="67" t="s">
        <v>95</v>
      </c>
      <c r="F88" s="68">
        <v>2243</v>
      </c>
      <c r="G88" s="94" t="s">
        <v>172</v>
      </c>
      <c r="H88" s="114"/>
      <c r="I88" s="113"/>
      <c r="J88" s="115"/>
      <c r="K88" s="116"/>
      <c r="L88" s="113"/>
      <c r="M88" s="113">
        <v>150</v>
      </c>
      <c r="N88"/>
    </row>
    <row r="89" spans="1:14" x14ac:dyDescent="0.3">
      <c r="A89" s="127"/>
      <c r="B89" s="127" t="s">
        <v>108</v>
      </c>
      <c r="C89" s="127" t="s">
        <v>126</v>
      </c>
      <c r="D89" s="67"/>
      <c r="E89" s="67" t="s">
        <v>95</v>
      </c>
      <c r="F89" s="68">
        <v>2243</v>
      </c>
      <c r="G89" s="94"/>
      <c r="H89" s="114"/>
      <c r="I89" s="113"/>
      <c r="J89" s="115"/>
      <c r="K89" s="116"/>
      <c r="L89" s="113"/>
      <c r="M89" s="113"/>
      <c r="N89"/>
    </row>
    <row r="90" spans="1:14" x14ac:dyDescent="0.3">
      <c r="A90" s="60"/>
      <c r="B90" s="60" t="s">
        <v>108</v>
      </c>
      <c r="C90" s="60" t="s">
        <v>126</v>
      </c>
      <c r="D90" s="60">
        <v>902</v>
      </c>
      <c r="E90" s="60" t="s">
        <v>95</v>
      </c>
      <c r="F90" s="61">
        <v>2244</v>
      </c>
      <c r="G90" s="62" t="s">
        <v>173</v>
      </c>
      <c r="H90" s="89"/>
      <c r="I90" s="89"/>
      <c r="J90" s="90"/>
      <c r="K90" s="105"/>
      <c r="L90" s="89">
        <f>SUM(M91:M92)</f>
        <v>0</v>
      </c>
      <c r="M90" s="89"/>
      <c r="N90"/>
    </row>
    <row r="91" spans="1:14" x14ac:dyDescent="0.3">
      <c r="A91" s="127"/>
      <c r="B91" s="127" t="s">
        <v>108</v>
      </c>
      <c r="C91" s="127" t="s">
        <v>126</v>
      </c>
      <c r="D91" s="127"/>
      <c r="E91" s="67" t="s">
        <v>95</v>
      </c>
      <c r="F91" s="68">
        <v>2244</v>
      </c>
      <c r="G91" s="94"/>
      <c r="H91" s="113"/>
      <c r="I91" s="113"/>
      <c r="J91" s="154"/>
      <c r="K91" s="155"/>
      <c r="L91" s="113"/>
      <c r="M91" s="113"/>
      <c r="N91"/>
    </row>
    <row r="92" spans="1:14" x14ac:dyDescent="0.3">
      <c r="A92" s="127"/>
      <c r="B92" s="127" t="s">
        <v>108</v>
      </c>
      <c r="C92" s="127" t="s">
        <v>126</v>
      </c>
      <c r="D92" s="127"/>
      <c r="E92" s="67" t="s">
        <v>95</v>
      </c>
      <c r="F92" s="68">
        <v>2244</v>
      </c>
      <c r="G92" s="94"/>
      <c r="H92" s="113"/>
      <c r="I92" s="113"/>
      <c r="J92" s="154"/>
      <c r="K92" s="155"/>
      <c r="L92" s="113"/>
      <c r="M92" s="113"/>
      <c r="N92"/>
    </row>
    <row r="93" spans="1:14" x14ac:dyDescent="0.3">
      <c r="A93" s="60"/>
      <c r="B93" s="60" t="s">
        <v>108</v>
      </c>
      <c r="C93" s="60" t="s">
        <v>126</v>
      </c>
      <c r="D93" s="60">
        <v>902</v>
      </c>
      <c r="E93" s="60" t="s">
        <v>95</v>
      </c>
      <c r="F93" s="61">
        <v>2247</v>
      </c>
      <c r="G93" s="62" t="s">
        <v>174</v>
      </c>
      <c r="H93" s="89">
        <v>150</v>
      </c>
      <c r="I93" s="104"/>
      <c r="J93" s="90">
        <v>142.11000000000001</v>
      </c>
      <c r="K93" s="105"/>
      <c r="L93" s="89">
        <f>M94</f>
        <v>250</v>
      </c>
      <c r="M93" s="89"/>
      <c r="N93"/>
    </row>
    <row r="94" spans="1:14" ht="51" x14ac:dyDescent="0.3">
      <c r="A94" s="127"/>
      <c r="B94" s="127" t="s">
        <v>108</v>
      </c>
      <c r="C94" s="127" t="s">
        <v>126</v>
      </c>
      <c r="D94" s="127"/>
      <c r="E94" s="67" t="s">
        <v>95</v>
      </c>
      <c r="F94" s="68">
        <v>2247</v>
      </c>
      <c r="G94" s="94" t="s">
        <v>175</v>
      </c>
      <c r="H94" s="114"/>
      <c r="I94" s="113"/>
      <c r="J94" s="115"/>
      <c r="K94" s="116"/>
      <c r="L94" s="113"/>
      <c r="M94" s="113">
        <v>250</v>
      </c>
      <c r="N94"/>
    </row>
    <row r="95" spans="1:14" x14ac:dyDescent="0.3">
      <c r="A95" s="60"/>
      <c r="B95" s="60" t="s">
        <v>108</v>
      </c>
      <c r="C95" s="60" t="s">
        <v>126</v>
      </c>
      <c r="D95" s="60">
        <v>902</v>
      </c>
      <c r="E95" s="60" t="s">
        <v>95</v>
      </c>
      <c r="F95" s="61">
        <v>2249</v>
      </c>
      <c r="G95" s="62" t="s">
        <v>176</v>
      </c>
      <c r="H95" s="89"/>
      <c r="I95" s="104"/>
      <c r="J95" s="90"/>
      <c r="K95" s="105"/>
      <c r="L95" s="89">
        <f>SUM(M96:M97)</f>
        <v>0</v>
      </c>
      <c r="M95" s="89"/>
      <c r="N95"/>
    </row>
    <row r="96" spans="1:14" x14ac:dyDescent="0.3">
      <c r="A96" s="127"/>
      <c r="B96" s="127" t="s">
        <v>108</v>
      </c>
      <c r="C96" s="127" t="s">
        <v>126</v>
      </c>
      <c r="D96" s="127"/>
      <c r="E96" s="67" t="s">
        <v>95</v>
      </c>
      <c r="F96" s="68">
        <v>2249</v>
      </c>
      <c r="G96" s="118"/>
      <c r="H96" s="114"/>
      <c r="I96" s="113"/>
      <c r="J96" s="115"/>
      <c r="K96" s="116"/>
      <c r="L96" s="113"/>
      <c r="M96" s="113"/>
      <c r="N96"/>
    </row>
    <row r="97" spans="1:14" x14ac:dyDescent="0.3">
      <c r="A97" s="127"/>
      <c r="B97" s="127" t="s">
        <v>108</v>
      </c>
      <c r="C97" s="127" t="s">
        <v>126</v>
      </c>
      <c r="D97" s="127"/>
      <c r="E97" s="67" t="s">
        <v>95</v>
      </c>
      <c r="F97" s="68">
        <v>2249</v>
      </c>
      <c r="G97" s="94"/>
      <c r="H97" s="114"/>
      <c r="I97" s="113"/>
      <c r="J97" s="115"/>
      <c r="K97" s="116"/>
      <c r="L97" s="113"/>
      <c r="M97" s="113"/>
      <c r="N97"/>
    </row>
    <row r="98" spans="1:14" x14ac:dyDescent="0.3">
      <c r="A98" s="60"/>
      <c r="B98" s="60" t="s">
        <v>108</v>
      </c>
      <c r="C98" s="60" t="s">
        <v>126</v>
      </c>
      <c r="D98" s="60">
        <v>902</v>
      </c>
      <c r="E98" s="60" t="s">
        <v>95</v>
      </c>
      <c r="F98" s="61">
        <v>2264</v>
      </c>
      <c r="G98" s="62" t="s">
        <v>177</v>
      </c>
      <c r="H98" s="89">
        <v>750</v>
      </c>
      <c r="I98" s="89"/>
      <c r="J98" s="90"/>
      <c r="K98" s="105"/>
      <c r="L98" s="89">
        <f>M99</f>
        <v>363</v>
      </c>
      <c r="M98" s="89"/>
      <c r="N98"/>
    </row>
    <row r="99" spans="1:14" ht="20.399999999999999" x14ac:dyDescent="0.3">
      <c r="A99" s="67"/>
      <c r="B99" s="67" t="s">
        <v>108</v>
      </c>
      <c r="C99" s="67" t="s">
        <v>126</v>
      </c>
      <c r="D99" s="67"/>
      <c r="E99" s="67" t="s">
        <v>95</v>
      </c>
      <c r="F99" s="68">
        <v>2264</v>
      </c>
      <c r="G99" s="94" t="s">
        <v>178</v>
      </c>
      <c r="H99" s="113"/>
      <c r="I99" s="113"/>
      <c r="J99" s="115"/>
      <c r="K99" s="116"/>
      <c r="L99" s="113"/>
      <c r="M99" s="113">
        <f>30.25*12</f>
        <v>363</v>
      </c>
      <c r="N99"/>
    </row>
    <row r="100" spans="1:14" x14ac:dyDescent="0.3">
      <c r="A100" s="60"/>
      <c r="B100" s="60" t="s">
        <v>108</v>
      </c>
      <c r="C100" s="60" t="s">
        <v>109</v>
      </c>
      <c r="D100" s="60">
        <v>902</v>
      </c>
      <c r="E100" s="60" t="s">
        <v>95</v>
      </c>
      <c r="F100" s="61">
        <v>2311</v>
      </c>
      <c r="G100" s="62" t="s">
        <v>179</v>
      </c>
      <c r="H100" s="89">
        <v>6100</v>
      </c>
      <c r="I100" s="89"/>
      <c r="J100" s="90">
        <v>5628</v>
      </c>
      <c r="K100" s="105"/>
      <c r="L100" s="89">
        <f>SUM(M101:M105)</f>
        <v>1035</v>
      </c>
      <c r="M100" s="89"/>
      <c r="N100"/>
    </row>
    <row r="101" spans="1:14" ht="23.4" customHeight="1" x14ac:dyDescent="0.3">
      <c r="A101" s="67"/>
      <c r="B101" s="67" t="s">
        <v>108</v>
      </c>
      <c r="C101" s="67" t="s">
        <v>109</v>
      </c>
      <c r="D101" s="67"/>
      <c r="E101" s="67" t="s">
        <v>95</v>
      </c>
      <c r="F101" s="68">
        <v>2311</v>
      </c>
      <c r="G101" s="156" t="s">
        <v>180</v>
      </c>
      <c r="H101" s="113"/>
      <c r="I101" s="113"/>
      <c r="J101" s="115">
        <v>86</v>
      </c>
      <c r="K101" s="116"/>
      <c r="L101" s="113"/>
      <c r="M101" s="113"/>
      <c r="N101"/>
    </row>
    <row r="102" spans="1:14" ht="30.6" x14ac:dyDescent="0.3">
      <c r="A102" s="67"/>
      <c r="B102" s="67" t="s">
        <v>108</v>
      </c>
      <c r="C102" s="67" t="s">
        <v>109</v>
      </c>
      <c r="D102" s="67"/>
      <c r="E102" s="67" t="s">
        <v>95</v>
      </c>
      <c r="F102" s="68">
        <v>2311</v>
      </c>
      <c r="G102" s="94" t="s">
        <v>181</v>
      </c>
      <c r="H102" s="113"/>
      <c r="I102" s="113"/>
      <c r="J102" s="115"/>
      <c r="K102" s="116"/>
      <c r="L102" s="113"/>
      <c r="M102" s="113">
        <v>700</v>
      </c>
      <c r="N102"/>
    </row>
    <row r="103" spans="1:14" ht="20.399999999999999" x14ac:dyDescent="0.3">
      <c r="A103" s="67" t="s">
        <v>182</v>
      </c>
      <c r="B103" s="67" t="s">
        <v>108</v>
      </c>
      <c r="C103" s="67" t="s">
        <v>109</v>
      </c>
      <c r="D103" s="67"/>
      <c r="E103" s="67" t="s">
        <v>95</v>
      </c>
      <c r="F103" s="68">
        <v>2311</v>
      </c>
      <c r="G103" s="94" t="s">
        <v>183</v>
      </c>
      <c r="H103" s="120"/>
      <c r="I103" s="120"/>
      <c r="J103" s="121"/>
      <c r="K103" s="122"/>
      <c r="L103" s="120"/>
      <c r="M103" s="120">
        <v>140</v>
      </c>
      <c r="N103"/>
    </row>
    <row r="104" spans="1:14" ht="20.399999999999999" x14ac:dyDescent="0.3">
      <c r="A104" s="67"/>
      <c r="B104" s="67" t="s">
        <v>108</v>
      </c>
      <c r="C104" s="67" t="s">
        <v>109</v>
      </c>
      <c r="D104" s="67"/>
      <c r="E104" s="67" t="s">
        <v>95</v>
      </c>
      <c r="F104" s="68">
        <v>2311</v>
      </c>
      <c r="G104" s="118" t="s">
        <v>184</v>
      </c>
      <c r="H104" s="120"/>
      <c r="I104" s="120"/>
      <c r="J104" s="121"/>
      <c r="K104" s="122"/>
      <c r="L104" s="120"/>
      <c r="M104" s="120">
        <v>120</v>
      </c>
      <c r="N104"/>
    </row>
    <row r="105" spans="1:14" x14ac:dyDescent="0.3">
      <c r="A105" s="67"/>
      <c r="B105" s="67" t="s">
        <v>108</v>
      </c>
      <c r="C105" s="67" t="s">
        <v>109</v>
      </c>
      <c r="D105" s="67"/>
      <c r="E105" s="67" t="s">
        <v>95</v>
      </c>
      <c r="F105" s="68">
        <v>2311</v>
      </c>
      <c r="G105" s="119" t="s">
        <v>185</v>
      </c>
      <c r="H105" s="120"/>
      <c r="I105" s="120"/>
      <c r="J105" s="121"/>
      <c r="K105" s="122"/>
      <c r="L105" s="120"/>
      <c r="M105" s="120">
        <v>75</v>
      </c>
      <c r="N105"/>
    </row>
    <row r="106" spans="1:14" x14ac:dyDescent="0.3">
      <c r="A106" s="60"/>
      <c r="B106" s="60" t="s">
        <v>108</v>
      </c>
      <c r="C106" s="60" t="s">
        <v>109</v>
      </c>
      <c r="D106" s="60">
        <v>902</v>
      </c>
      <c r="E106" s="60" t="s">
        <v>95</v>
      </c>
      <c r="F106" s="61">
        <v>2312</v>
      </c>
      <c r="G106" s="62" t="s">
        <v>186</v>
      </c>
      <c r="H106" s="89">
        <v>7330</v>
      </c>
      <c r="I106" s="89"/>
      <c r="J106" s="90">
        <v>6719</v>
      </c>
      <c r="K106" s="105"/>
      <c r="L106" s="89">
        <f>SUM(M107:M115)</f>
        <v>6206.3</v>
      </c>
      <c r="M106" s="89"/>
      <c r="N106"/>
    </row>
    <row r="107" spans="1:14" ht="39.6" customHeight="1" x14ac:dyDescent="0.3">
      <c r="A107" s="67" t="s">
        <v>182</v>
      </c>
      <c r="B107" s="67" t="s">
        <v>108</v>
      </c>
      <c r="C107" s="67" t="s">
        <v>109</v>
      </c>
      <c r="D107" s="67"/>
      <c r="E107" s="67" t="s">
        <v>95</v>
      </c>
      <c r="F107" s="68">
        <v>2312</v>
      </c>
      <c r="G107" s="94" t="s">
        <v>187</v>
      </c>
      <c r="H107" s="120"/>
      <c r="I107" s="120"/>
      <c r="J107" s="121"/>
      <c r="K107" s="122"/>
      <c r="L107" s="120"/>
      <c r="M107" s="120">
        <v>1100</v>
      </c>
      <c r="N107"/>
    </row>
    <row r="108" spans="1:14" ht="43.2" customHeight="1" x14ac:dyDescent="0.3">
      <c r="A108" s="67" t="s">
        <v>182</v>
      </c>
      <c r="B108" s="67" t="s">
        <v>108</v>
      </c>
      <c r="C108" s="67" t="s">
        <v>109</v>
      </c>
      <c r="D108" s="67"/>
      <c r="E108" s="67" t="s">
        <v>95</v>
      </c>
      <c r="F108" s="68">
        <v>2312</v>
      </c>
      <c r="G108" s="94" t="s">
        <v>188</v>
      </c>
      <c r="H108" s="120"/>
      <c r="I108" s="120"/>
      <c r="J108" s="121"/>
      <c r="K108" s="122"/>
      <c r="L108" s="120"/>
      <c r="M108" s="120">
        <v>560</v>
      </c>
      <c r="N108"/>
    </row>
    <row r="109" spans="1:14" ht="22.95" customHeight="1" x14ac:dyDescent="0.3">
      <c r="A109" s="67" t="s">
        <v>182</v>
      </c>
      <c r="B109" s="67" t="s">
        <v>108</v>
      </c>
      <c r="C109" s="67" t="s">
        <v>109</v>
      </c>
      <c r="D109" s="67"/>
      <c r="E109" s="67" t="s">
        <v>95</v>
      </c>
      <c r="F109" s="68">
        <v>2312</v>
      </c>
      <c r="G109" s="94" t="s">
        <v>189</v>
      </c>
      <c r="H109" s="120"/>
      <c r="I109" s="120"/>
      <c r="J109" s="121"/>
      <c r="K109" s="122"/>
      <c r="L109" s="120"/>
      <c r="M109" s="120">
        <v>400</v>
      </c>
      <c r="N109" s="157"/>
    </row>
    <row r="110" spans="1:14" ht="15.6" customHeight="1" x14ac:dyDescent="0.3">
      <c r="A110" s="67" t="s">
        <v>190</v>
      </c>
      <c r="B110" s="67" t="s">
        <v>108</v>
      </c>
      <c r="C110" s="67" t="s">
        <v>109</v>
      </c>
      <c r="D110" s="67"/>
      <c r="E110" s="67" t="s">
        <v>95</v>
      </c>
      <c r="F110" s="68">
        <v>2312</v>
      </c>
      <c r="G110" s="158" t="s">
        <v>191</v>
      </c>
      <c r="H110" s="139"/>
      <c r="I110" s="139"/>
      <c r="J110" s="140"/>
      <c r="K110" s="139"/>
      <c r="L110" s="139"/>
      <c r="M110" s="139">
        <v>360</v>
      </c>
      <c r="N110"/>
    </row>
    <row r="111" spans="1:14" ht="40.200000000000003" customHeight="1" x14ac:dyDescent="0.3">
      <c r="A111" s="67" t="s">
        <v>192</v>
      </c>
      <c r="B111" s="67" t="s">
        <v>108</v>
      </c>
      <c r="C111" s="67" t="s">
        <v>109</v>
      </c>
      <c r="D111" s="67"/>
      <c r="E111" s="67" t="s">
        <v>95</v>
      </c>
      <c r="F111" s="68">
        <v>2312</v>
      </c>
      <c r="G111" s="137" t="s">
        <v>193</v>
      </c>
      <c r="H111" s="139"/>
      <c r="I111" s="139"/>
      <c r="J111" s="140"/>
      <c r="K111" s="139"/>
      <c r="L111" s="139"/>
      <c r="M111" s="139">
        <v>240</v>
      </c>
      <c r="N111"/>
    </row>
    <row r="112" spans="1:14" ht="36.6" customHeight="1" x14ac:dyDescent="0.3">
      <c r="A112" s="67" t="s">
        <v>192</v>
      </c>
      <c r="B112" s="67" t="s">
        <v>108</v>
      </c>
      <c r="C112" s="67" t="s">
        <v>109</v>
      </c>
      <c r="D112" s="67"/>
      <c r="E112" s="67" t="s">
        <v>95</v>
      </c>
      <c r="F112" s="68">
        <v>2312</v>
      </c>
      <c r="G112" s="137" t="s">
        <v>194</v>
      </c>
      <c r="H112" s="139"/>
      <c r="I112" s="139"/>
      <c r="J112" s="140"/>
      <c r="K112" s="139"/>
      <c r="L112" s="139"/>
      <c r="M112" s="139">
        <v>2750</v>
      </c>
      <c r="N112"/>
    </row>
    <row r="113" spans="1:14" ht="30.6" x14ac:dyDescent="0.3">
      <c r="A113" s="67" t="s">
        <v>195</v>
      </c>
      <c r="B113" s="67" t="s">
        <v>108</v>
      </c>
      <c r="C113" s="67" t="s">
        <v>109</v>
      </c>
      <c r="D113" s="67"/>
      <c r="E113" s="67" t="s">
        <v>95</v>
      </c>
      <c r="F113" s="68">
        <v>2312</v>
      </c>
      <c r="G113" s="94" t="s">
        <v>196</v>
      </c>
      <c r="H113" s="124"/>
      <c r="I113" s="124"/>
      <c r="J113" s="121"/>
      <c r="K113" s="122"/>
      <c r="L113" s="120"/>
      <c r="M113" s="120">
        <v>324</v>
      </c>
      <c r="N113" s="66"/>
    </row>
    <row r="114" spans="1:14" ht="39" customHeight="1" x14ac:dyDescent="0.3">
      <c r="A114" s="67" t="s">
        <v>195</v>
      </c>
      <c r="B114" s="67" t="s">
        <v>108</v>
      </c>
      <c r="C114" s="67" t="s">
        <v>109</v>
      </c>
      <c r="D114" s="67"/>
      <c r="E114" s="67" t="s">
        <v>95</v>
      </c>
      <c r="F114" s="68">
        <v>2312</v>
      </c>
      <c r="G114" s="94" t="s">
        <v>197</v>
      </c>
      <c r="H114" s="120"/>
      <c r="I114" s="120"/>
      <c r="J114" s="121"/>
      <c r="K114" s="122"/>
      <c r="L114" s="120"/>
      <c r="M114" s="120">
        <v>212.3</v>
      </c>
      <c r="N114" s="66"/>
    </row>
    <row r="115" spans="1:14" ht="20.399999999999999" x14ac:dyDescent="0.3">
      <c r="A115" s="67" t="s">
        <v>195</v>
      </c>
      <c r="B115" s="67" t="s">
        <v>108</v>
      </c>
      <c r="C115" s="67" t="s">
        <v>109</v>
      </c>
      <c r="D115" s="67"/>
      <c r="E115" s="67" t="s">
        <v>95</v>
      </c>
      <c r="F115" s="68">
        <v>2312</v>
      </c>
      <c r="G115" s="94" t="s">
        <v>198</v>
      </c>
      <c r="H115" s="124"/>
      <c r="I115" s="124"/>
      <c r="J115" s="121"/>
      <c r="K115" s="122"/>
      <c r="L115" s="120"/>
      <c r="M115" s="120">
        <v>260</v>
      </c>
      <c r="N115" s="66"/>
    </row>
    <row r="116" spans="1:14" x14ac:dyDescent="0.3">
      <c r="A116" s="60"/>
      <c r="B116" s="60" t="s">
        <v>121</v>
      </c>
      <c r="C116" s="60" t="s">
        <v>199</v>
      </c>
      <c r="D116" s="60">
        <v>902</v>
      </c>
      <c r="E116" s="60" t="s">
        <v>95</v>
      </c>
      <c r="F116" s="61">
        <v>2312</v>
      </c>
      <c r="G116" s="62" t="s">
        <v>186</v>
      </c>
      <c r="H116" s="89"/>
      <c r="I116" s="104"/>
      <c r="J116" s="90"/>
      <c r="K116" s="105"/>
      <c r="L116" s="89">
        <f>SUM(M117:M120)</f>
        <v>0</v>
      </c>
      <c r="M116" s="89"/>
      <c r="N116"/>
    </row>
    <row r="117" spans="1:14" ht="39.6" customHeight="1" x14ac:dyDescent="0.3">
      <c r="A117" s="67" t="s">
        <v>200</v>
      </c>
      <c r="B117" s="67" t="s">
        <v>121</v>
      </c>
      <c r="C117" s="67" t="s">
        <v>199</v>
      </c>
      <c r="D117" s="67"/>
      <c r="E117" s="67" t="s">
        <v>95</v>
      </c>
      <c r="F117" s="68">
        <v>2312</v>
      </c>
      <c r="G117" s="94" t="s">
        <v>201</v>
      </c>
      <c r="H117" s="120"/>
      <c r="I117" s="120"/>
      <c r="J117" s="121"/>
      <c r="K117" s="122"/>
      <c r="L117" s="120"/>
      <c r="M117" s="165">
        <f>400-400</f>
        <v>0</v>
      </c>
      <c r="N117" s="159" t="s">
        <v>335</v>
      </c>
    </row>
    <row r="118" spans="1:14" ht="30.6" x14ac:dyDescent="0.3">
      <c r="A118" s="67" t="s">
        <v>200</v>
      </c>
      <c r="B118" s="67" t="s">
        <v>121</v>
      </c>
      <c r="C118" s="67" t="s">
        <v>199</v>
      </c>
      <c r="D118" s="67"/>
      <c r="E118" s="67" t="s">
        <v>95</v>
      </c>
      <c r="F118" s="68">
        <v>2312</v>
      </c>
      <c r="G118" s="94" t="s">
        <v>202</v>
      </c>
      <c r="H118" s="120"/>
      <c r="I118" s="120"/>
      <c r="J118" s="121"/>
      <c r="K118" s="122"/>
      <c r="L118" s="120"/>
      <c r="M118" s="165">
        <f>450-450</f>
        <v>0</v>
      </c>
      <c r="N118" s="159" t="s">
        <v>335</v>
      </c>
    </row>
    <row r="119" spans="1:14" ht="40.799999999999997" x14ac:dyDescent="0.3">
      <c r="A119" s="67" t="s">
        <v>200</v>
      </c>
      <c r="B119" s="67" t="s">
        <v>121</v>
      </c>
      <c r="C119" s="67" t="s">
        <v>199</v>
      </c>
      <c r="D119" s="67"/>
      <c r="E119" s="67" t="s">
        <v>95</v>
      </c>
      <c r="F119" s="68">
        <v>2312</v>
      </c>
      <c r="G119" s="94" t="s">
        <v>203</v>
      </c>
      <c r="H119" s="120"/>
      <c r="I119" s="120"/>
      <c r="J119" s="121"/>
      <c r="K119" s="122"/>
      <c r="L119" s="120"/>
      <c r="M119" s="165">
        <f>2000-2000</f>
        <v>0</v>
      </c>
      <c r="N119" s="159" t="s">
        <v>335</v>
      </c>
    </row>
    <row r="120" spans="1:14" x14ac:dyDescent="0.3">
      <c r="A120" s="60"/>
      <c r="B120" s="60" t="s">
        <v>167</v>
      </c>
      <c r="C120" s="60" t="s">
        <v>168</v>
      </c>
      <c r="D120" s="60">
        <v>902</v>
      </c>
      <c r="E120" s="60" t="s">
        <v>95</v>
      </c>
      <c r="F120" s="61">
        <v>2312</v>
      </c>
      <c r="G120" s="62" t="s">
        <v>186</v>
      </c>
      <c r="H120" s="89">
        <v>195366</v>
      </c>
      <c r="I120" s="104"/>
      <c r="J120" s="90">
        <v>193379.49</v>
      </c>
      <c r="K120" s="105"/>
      <c r="L120" s="89">
        <f>SUM(M121:M127)</f>
        <v>4911</v>
      </c>
      <c r="M120" s="89"/>
      <c r="N120"/>
    </row>
    <row r="121" spans="1:14" ht="71.400000000000006" x14ac:dyDescent="0.3">
      <c r="A121" s="67" t="s">
        <v>204</v>
      </c>
      <c r="B121" s="67" t="s">
        <v>167</v>
      </c>
      <c r="C121" s="67" t="s">
        <v>168</v>
      </c>
      <c r="D121" s="67"/>
      <c r="E121" s="67" t="s">
        <v>95</v>
      </c>
      <c r="F121" s="68">
        <v>2312</v>
      </c>
      <c r="G121" s="94" t="s">
        <v>205</v>
      </c>
      <c r="H121" s="124"/>
      <c r="I121" s="120"/>
      <c r="J121" s="121"/>
      <c r="K121" s="122"/>
      <c r="L121" s="120"/>
      <c r="M121" s="117">
        <f>3308-3308</f>
        <v>0</v>
      </c>
      <c r="N121" s="160" t="s">
        <v>142</v>
      </c>
    </row>
    <row r="122" spans="1:14" ht="164.4" x14ac:dyDescent="0.3">
      <c r="A122" s="67" t="s">
        <v>182</v>
      </c>
      <c r="B122" s="67" t="s">
        <v>167</v>
      </c>
      <c r="C122" s="67" t="s">
        <v>168</v>
      </c>
      <c r="D122" s="67"/>
      <c r="E122" s="67" t="s">
        <v>95</v>
      </c>
      <c r="F122" s="68">
        <v>2312</v>
      </c>
      <c r="G122" s="94" t="s">
        <v>206</v>
      </c>
      <c r="H122" s="124"/>
      <c r="I122" s="161"/>
      <c r="J122" s="121"/>
      <c r="K122" s="122"/>
      <c r="L122" s="120"/>
      <c r="M122" s="113">
        <v>990</v>
      </c>
      <c r="N122" s="162" t="s">
        <v>281</v>
      </c>
    </row>
    <row r="123" spans="1:14" ht="93" x14ac:dyDescent="0.3">
      <c r="A123" s="67" t="s">
        <v>182</v>
      </c>
      <c r="B123" s="67" t="s">
        <v>167</v>
      </c>
      <c r="C123" s="67" t="s">
        <v>168</v>
      </c>
      <c r="D123" s="67"/>
      <c r="E123" s="67" t="s">
        <v>95</v>
      </c>
      <c r="F123" s="68">
        <v>2312</v>
      </c>
      <c r="G123" s="94" t="s">
        <v>207</v>
      </c>
      <c r="H123" s="124"/>
      <c r="I123" s="161"/>
      <c r="J123" s="121"/>
      <c r="K123" s="122"/>
      <c r="L123" s="120"/>
      <c r="M123" s="120">
        <v>1120</v>
      </c>
      <c r="N123" s="162" t="s">
        <v>282</v>
      </c>
    </row>
    <row r="124" spans="1:14" ht="82.8" x14ac:dyDescent="0.3">
      <c r="A124" s="67" t="s">
        <v>182</v>
      </c>
      <c r="B124" s="67" t="s">
        <v>167</v>
      </c>
      <c r="C124" s="67" t="s">
        <v>168</v>
      </c>
      <c r="D124" s="67"/>
      <c r="E124" s="67" t="s">
        <v>95</v>
      </c>
      <c r="F124" s="68">
        <v>2312</v>
      </c>
      <c r="G124" s="94" t="s">
        <v>208</v>
      </c>
      <c r="H124" s="124"/>
      <c r="I124" s="161"/>
      <c r="J124" s="121"/>
      <c r="K124" s="122"/>
      <c r="L124" s="120"/>
      <c r="M124" s="120">
        <v>427</v>
      </c>
      <c r="N124" s="163" t="s">
        <v>283</v>
      </c>
    </row>
    <row r="125" spans="1:14" ht="52.2" customHeight="1" x14ac:dyDescent="0.3">
      <c r="A125" s="67" t="s">
        <v>195</v>
      </c>
      <c r="B125" s="67" t="s">
        <v>167</v>
      </c>
      <c r="C125" s="67" t="s">
        <v>168</v>
      </c>
      <c r="D125" s="67"/>
      <c r="E125" s="67" t="s">
        <v>95</v>
      </c>
      <c r="F125" s="68">
        <v>2312</v>
      </c>
      <c r="G125" s="94" t="s">
        <v>209</v>
      </c>
      <c r="H125" s="120"/>
      <c r="I125" s="120"/>
      <c r="J125" s="121"/>
      <c r="K125" s="122"/>
      <c r="L125" s="120"/>
      <c r="M125" s="120">
        <v>2044</v>
      </c>
      <c r="N125" s="164"/>
    </row>
    <row r="126" spans="1:14" ht="45" customHeight="1" x14ac:dyDescent="0.3">
      <c r="A126" s="67" t="s">
        <v>195</v>
      </c>
      <c r="B126" s="67" t="s">
        <v>167</v>
      </c>
      <c r="C126" s="67" t="s">
        <v>168</v>
      </c>
      <c r="D126" s="67"/>
      <c r="E126" s="67" t="s">
        <v>95</v>
      </c>
      <c r="F126" s="68">
        <v>2312</v>
      </c>
      <c r="G126" s="94" t="s">
        <v>210</v>
      </c>
      <c r="H126" s="120"/>
      <c r="I126" s="120"/>
      <c r="J126" s="121"/>
      <c r="K126" s="122"/>
      <c r="L126" s="120"/>
      <c r="M126" s="165">
        <f>900-900</f>
        <v>0</v>
      </c>
      <c r="N126" s="160" t="s">
        <v>142</v>
      </c>
    </row>
    <row r="127" spans="1:14" ht="31.8" x14ac:dyDescent="0.3">
      <c r="A127" s="67" t="s">
        <v>195</v>
      </c>
      <c r="B127" s="67" t="s">
        <v>167</v>
      </c>
      <c r="C127" s="67" t="s">
        <v>168</v>
      </c>
      <c r="D127" s="67"/>
      <c r="E127" s="67" t="s">
        <v>95</v>
      </c>
      <c r="F127" s="68">
        <v>2312</v>
      </c>
      <c r="G127" s="94" t="s">
        <v>284</v>
      </c>
      <c r="H127" s="124"/>
      <c r="I127" s="124"/>
      <c r="J127" s="121"/>
      <c r="K127" s="122"/>
      <c r="L127" s="120"/>
      <c r="M127" s="120">
        <v>330</v>
      </c>
      <c r="N127" s="166" t="s">
        <v>285</v>
      </c>
    </row>
    <row r="128" spans="1:14" x14ac:dyDescent="0.3">
      <c r="A128" s="60"/>
      <c r="B128" s="60" t="s">
        <v>108</v>
      </c>
      <c r="C128" s="60" t="s">
        <v>126</v>
      </c>
      <c r="D128" s="60">
        <v>902</v>
      </c>
      <c r="E128" s="60" t="s">
        <v>95</v>
      </c>
      <c r="F128" s="61">
        <v>2322</v>
      </c>
      <c r="G128" s="62" t="s">
        <v>211</v>
      </c>
      <c r="H128" s="89">
        <v>400</v>
      </c>
      <c r="I128" s="89"/>
      <c r="J128" s="90">
        <v>0</v>
      </c>
      <c r="K128" s="105"/>
      <c r="L128" s="89">
        <f>SUM(M129:M130)</f>
        <v>858</v>
      </c>
      <c r="M128" s="89"/>
      <c r="N128" s="167"/>
    </row>
    <row r="129" spans="1:14" x14ac:dyDescent="0.3">
      <c r="A129" s="67"/>
      <c r="B129" s="67" t="s">
        <v>108</v>
      </c>
      <c r="C129" s="67" t="s">
        <v>126</v>
      </c>
      <c r="D129" s="67"/>
      <c r="E129" s="67" t="s">
        <v>95</v>
      </c>
      <c r="F129" s="68">
        <v>2322</v>
      </c>
      <c r="G129" s="168" t="s">
        <v>212</v>
      </c>
      <c r="H129" s="113"/>
      <c r="I129" s="113"/>
      <c r="J129" s="115"/>
      <c r="K129" s="116"/>
      <c r="L129" s="113"/>
      <c r="M129" s="113"/>
      <c r="N129" s="167"/>
    </row>
    <row r="130" spans="1:14" ht="51" x14ac:dyDescent="0.3">
      <c r="A130" s="67"/>
      <c r="B130" s="67" t="s">
        <v>108</v>
      </c>
      <c r="C130" s="67" t="s">
        <v>126</v>
      </c>
      <c r="D130" s="67"/>
      <c r="E130" s="67" t="s">
        <v>95</v>
      </c>
      <c r="F130" s="68">
        <v>2322</v>
      </c>
      <c r="G130" s="94" t="s">
        <v>213</v>
      </c>
      <c r="H130" s="113"/>
      <c r="I130" s="113"/>
      <c r="J130" s="115"/>
      <c r="K130" s="116"/>
      <c r="L130" s="113"/>
      <c r="M130" s="113">
        <v>858</v>
      </c>
      <c r="N130"/>
    </row>
    <row r="131" spans="1:14" x14ac:dyDescent="0.3">
      <c r="A131" s="73"/>
      <c r="B131" s="73" t="s">
        <v>108</v>
      </c>
      <c r="C131" s="73" t="s">
        <v>109</v>
      </c>
      <c r="D131" s="60">
        <v>902</v>
      </c>
      <c r="E131" s="73" t="s">
        <v>95</v>
      </c>
      <c r="F131" s="152">
        <v>2341</v>
      </c>
      <c r="G131" s="153" t="s">
        <v>214</v>
      </c>
      <c r="H131" s="89">
        <v>600</v>
      </c>
      <c r="I131" s="89"/>
      <c r="J131" s="90">
        <v>125.65</v>
      </c>
      <c r="K131" s="105"/>
      <c r="L131" s="89">
        <f>SUM(M132:M133)</f>
        <v>939</v>
      </c>
      <c r="M131" s="89"/>
      <c r="N131"/>
    </row>
    <row r="132" spans="1:14" x14ac:dyDescent="0.3">
      <c r="A132" s="67"/>
      <c r="B132" s="67" t="s">
        <v>108</v>
      </c>
      <c r="C132" s="67" t="s">
        <v>109</v>
      </c>
      <c r="D132" s="67"/>
      <c r="E132" s="67" t="s">
        <v>95</v>
      </c>
      <c r="F132" s="68">
        <v>2341</v>
      </c>
      <c r="G132" s="169" t="s">
        <v>215</v>
      </c>
      <c r="H132" s="113"/>
      <c r="I132" s="113"/>
      <c r="J132" s="115"/>
      <c r="K132" s="116"/>
      <c r="L132" s="113"/>
      <c r="M132" s="113">
        <v>180</v>
      </c>
      <c r="N132"/>
    </row>
    <row r="133" spans="1:14" ht="71.400000000000006" x14ac:dyDescent="0.3">
      <c r="A133" s="67"/>
      <c r="B133" s="67" t="s">
        <v>108</v>
      </c>
      <c r="C133" s="67" t="s">
        <v>109</v>
      </c>
      <c r="D133" s="67"/>
      <c r="E133" s="67" t="s">
        <v>95</v>
      </c>
      <c r="F133" s="68">
        <v>2341</v>
      </c>
      <c r="G133" s="94" t="s">
        <v>216</v>
      </c>
      <c r="H133" s="120"/>
      <c r="I133" s="120"/>
      <c r="J133" s="121"/>
      <c r="K133" s="122"/>
      <c r="L133" s="120"/>
      <c r="M133" s="120">
        <v>759</v>
      </c>
      <c r="N133"/>
    </row>
    <row r="134" spans="1:14" ht="20.399999999999999" x14ac:dyDescent="0.3">
      <c r="A134" s="60"/>
      <c r="B134" s="60" t="s">
        <v>108</v>
      </c>
      <c r="C134" s="60" t="s">
        <v>126</v>
      </c>
      <c r="D134" s="60">
        <v>902</v>
      </c>
      <c r="E134" s="60" t="s">
        <v>95</v>
      </c>
      <c r="F134" s="61">
        <v>2350</v>
      </c>
      <c r="G134" s="62" t="s">
        <v>217</v>
      </c>
      <c r="H134" s="89">
        <v>2700</v>
      </c>
      <c r="I134" s="89"/>
      <c r="J134" s="90"/>
      <c r="K134" s="105"/>
      <c r="L134" s="89">
        <f>SUM(M135:M138)</f>
        <v>2040</v>
      </c>
      <c r="M134" s="89"/>
      <c r="N134"/>
    </row>
    <row r="135" spans="1:14" ht="50.4" customHeight="1" x14ac:dyDescent="0.3">
      <c r="A135" s="67"/>
      <c r="B135" s="67" t="s">
        <v>108</v>
      </c>
      <c r="C135" s="67" t="s">
        <v>126</v>
      </c>
      <c r="D135" s="67"/>
      <c r="E135" s="67" t="s">
        <v>95</v>
      </c>
      <c r="F135" s="68">
        <v>2350</v>
      </c>
      <c r="G135" s="94" t="s">
        <v>218</v>
      </c>
      <c r="H135" s="113"/>
      <c r="I135" s="113"/>
      <c r="J135" s="115"/>
      <c r="K135" s="116"/>
      <c r="L135" s="113"/>
      <c r="M135" s="113">
        <v>990</v>
      </c>
      <c r="N135"/>
    </row>
    <row r="136" spans="1:14" ht="42.6" customHeight="1" x14ac:dyDescent="0.3">
      <c r="A136" s="67"/>
      <c r="B136" s="67" t="s">
        <v>108</v>
      </c>
      <c r="C136" s="67" t="s">
        <v>126</v>
      </c>
      <c r="D136" s="67"/>
      <c r="E136" s="67" t="s">
        <v>95</v>
      </c>
      <c r="F136" s="68">
        <v>2350</v>
      </c>
      <c r="G136" s="118" t="s">
        <v>219</v>
      </c>
      <c r="H136" s="113"/>
      <c r="I136" s="113"/>
      <c r="J136" s="115"/>
      <c r="K136" s="116"/>
      <c r="L136" s="113"/>
      <c r="M136" s="113">
        <v>800</v>
      </c>
      <c r="N136"/>
    </row>
    <row r="137" spans="1:14" ht="17.399999999999999" customHeight="1" x14ac:dyDescent="0.3">
      <c r="A137" s="67"/>
      <c r="B137" s="67" t="s">
        <v>108</v>
      </c>
      <c r="C137" s="67" t="s">
        <v>126</v>
      </c>
      <c r="D137" s="67"/>
      <c r="E137" s="67" t="s">
        <v>95</v>
      </c>
      <c r="F137" s="68">
        <v>2350</v>
      </c>
      <c r="G137" s="119" t="s">
        <v>220</v>
      </c>
      <c r="H137" s="113"/>
      <c r="I137" s="113"/>
      <c r="J137" s="115"/>
      <c r="K137" s="116"/>
      <c r="L137" s="113"/>
      <c r="M137" s="113">
        <v>250</v>
      </c>
      <c r="N137"/>
    </row>
    <row r="138" spans="1:14" ht="14.4" customHeight="1" x14ac:dyDescent="0.3">
      <c r="A138" s="67"/>
      <c r="B138" s="67" t="s">
        <v>108</v>
      </c>
      <c r="C138" s="67" t="s">
        <v>126</v>
      </c>
      <c r="D138" s="67"/>
      <c r="E138" s="67" t="s">
        <v>95</v>
      </c>
      <c r="F138" s="68">
        <v>2350</v>
      </c>
      <c r="G138" s="118" t="s">
        <v>221</v>
      </c>
      <c r="H138" s="113"/>
      <c r="I138" s="113"/>
      <c r="J138" s="115"/>
      <c r="K138" s="116"/>
      <c r="L138" s="113"/>
      <c r="M138" s="117">
        <f>60-60</f>
        <v>0</v>
      </c>
      <c r="N138" s="160" t="s">
        <v>142</v>
      </c>
    </row>
    <row r="139" spans="1:14" ht="20.399999999999999" x14ac:dyDescent="0.3">
      <c r="A139" s="60"/>
      <c r="B139" s="60" t="s">
        <v>167</v>
      </c>
      <c r="C139" s="60" t="s">
        <v>222</v>
      </c>
      <c r="D139" s="60">
        <v>902</v>
      </c>
      <c r="E139" s="60" t="s">
        <v>95</v>
      </c>
      <c r="F139" s="61">
        <v>2350</v>
      </c>
      <c r="G139" s="62" t="s">
        <v>217</v>
      </c>
      <c r="H139" s="89">
        <f>2700+5000-2700</f>
        <v>5000</v>
      </c>
      <c r="I139" s="89"/>
      <c r="J139" s="90"/>
      <c r="K139" s="105"/>
      <c r="L139" s="89">
        <f>SUM(M140:M141)</f>
        <v>0</v>
      </c>
      <c r="M139" s="89"/>
      <c r="N139"/>
    </row>
    <row r="140" spans="1:14" ht="31.95" customHeight="1" x14ac:dyDescent="0.3">
      <c r="A140" s="67"/>
      <c r="B140" s="67" t="s">
        <v>167</v>
      </c>
      <c r="C140" s="67" t="s">
        <v>222</v>
      </c>
      <c r="D140" s="67"/>
      <c r="E140" s="67" t="s">
        <v>95</v>
      </c>
      <c r="F140" s="68">
        <v>2350</v>
      </c>
      <c r="G140" s="94" t="s">
        <v>223</v>
      </c>
      <c r="H140" s="113"/>
      <c r="I140" s="113"/>
      <c r="J140" s="170"/>
      <c r="K140" s="116"/>
      <c r="L140" s="113"/>
      <c r="M140" s="113"/>
      <c r="N140"/>
    </row>
    <row r="141" spans="1:14" ht="55.95" customHeight="1" x14ac:dyDescent="0.3">
      <c r="A141" s="67" t="s">
        <v>224</v>
      </c>
      <c r="B141" s="67" t="s">
        <v>167</v>
      </c>
      <c r="C141" s="67" t="s">
        <v>222</v>
      </c>
      <c r="D141" s="67"/>
      <c r="E141" s="67" t="s">
        <v>95</v>
      </c>
      <c r="F141" s="68">
        <v>2350</v>
      </c>
      <c r="G141" s="94" t="s">
        <v>225</v>
      </c>
      <c r="H141" s="113"/>
      <c r="I141" s="113"/>
      <c r="J141" s="115"/>
      <c r="K141" s="116"/>
      <c r="L141" s="113"/>
      <c r="M141" s="117">
        <f>9320-9320</f>
        <v>0</v>
      </c>
      <c r="N141" s="129" t="s">
        <v>336</v>
      </c>
    </row>
    <row r="142" spans="1:14" x14ac:dyDescent="0.3">
      <c r="A142" s="60"/>
      <c r="B142" s="60" t="s">
        <v>108</v>
      </c>
      <c r="C142" s="60" t="s">
        <v>109</v>
      </c>
      <c r="D142" s="60">
        <v>902</v>
      </c>
      <c r="E142" s="60" t="s">
        <v>95</v>
      </c>
      <c r="F142" s="61">
        <v>2370</v>
      </c>
      <c r="G142" s="62" t="s">
        <v>226</v>
      </c>
      <c r="H142" s="89">
        <f>31895-5000</f>
        <v>26895</v>
      </c>
      <c r="I142" s="89"/>
      <c r="J142" s="90">
        <v>18630</v>
      </c>
      <c r="K142" s="105"/>
      <c r="L142" s="89">
        <f>SUM(M143:M150)</f>
        <v>10057.6</v>
      </c>
      <c r="M142" s="89"/>
      <c r="N142"/>
    </row>
    <row r="143" spans="1:14" ht="88.5" customHeight="1" x14ac:dyDescent="0.3">
      <c r="A143" s="67"/>
      <c r="B143" s="67" t="s">
        <v>108</v>
      </c>
      <c r="C143" s="67" t="s">
        <v>109</v>
      </c>
      <c r="D143" s="67"/>
      <c r="E143" s="67" t="s">
        <v>95</v>
      </c>
      <c r="F143" s="68">
        <v>2370</v>
      </c>
      <c r="G143" s="94" t="s">
        <v>227</v>
      </c>
      <c r="H143" s="120"/>
      <c r="I143" s="113"/>
      <c r="J143" s="115"/>
      <c r="K143" s="116"/>
      <c r="L143" s="120"/>
      <c r="M143" s="113">
        <v>5040</v>
      </c>
      <c r="N143" s="129" t="s">
        <v>228</v>
      </c>
    </row>
    <row r="144" spans="1:14" ht="40.799999999999997" x14ac:dyDescent="0.3">
      <c r="A144" s="67"/>
      <c r="B144" s="67" t="s">
        <v>108</v>
      </c>
      <c r="C144" s="67" t="s">
        <v>109</v>
      </c>
      <c r="D144" s="67"/>
      <c r="E144" s="67" t="s">
        <v>95</v>
      </c>
      <c r="F144" s="68">
        <v>2370</v>
      </c>
      <c r="G144" s="94" t="s">
        <v>229</v>
      </c>
      <c r="H144" s="120"/>
      <c r="I144" s="113"/>
      <c r="J144" s="115"/>
      <c r="K144" s="116"/>
      <c r="L144" s="120"/>
      <c r="M144" s="113">
        <v>560</v>
      </c>
      <c r="N144" s="171"/>
    </row>
    <row r="145" spans="1:14" ht="106.95" customHeight="1" x14ac:dyDescent="0.3">
      <c r="A145" s="67"/>
      <c r="B145" s="67" t="s">
        <v>108</v>
      </c>
      <c r="C145" s="67" t="s">
        <v>109</v>
      </c>
      <c r="D145" s="67"/>
      <c r="E145" s="67" t="s">
        <v>95</v>
      </c>
      <c r="F145" s="68">
        <v>2370</v>
      </c>
      <c r="G145" s="94" t="s">
        <v>230</v>
      </c>
      <c r="H145" s="120"/>
      <c r="I145" s="113"/>
      <c r="J145" s="115"/>
      <c r="K145" s="116"/>
      <c r="L145" s="120"/>
      <c r="M145" s="113">
        <v>2750</v>
      </c>
      <c r="N145"/>
    </row>
    <row r="146" spans="1:14" ht="122.4" x14ac:dyDescent="0.3">
      <c r="A146" s="67"/>
      <c r="B146" s="67" t="s">
        <v>108</v>
      </c>
      <c r="C146" s="67" t="s">
        <v>109</v>
      </c>
      <c r="D146" s="67"/>
      <c r="E146" s="67" t="s">
        <v>95</v>
      </c>
      <c r="F146" s="68">
        <v>2370</v>
      </c>
      <c r="G146" s="94" t="s">
        <v>231</v>
      </c>
      <c r="H146" s="120"/>
      <c r="I146" s="113"/>
      <c r="J146" s="115"/>
      <c r="K146" s="116"/>
      <c r="L146" s="120"/>
      <c r="M146" s="113">
        <v>630</v>
      </c>
      <c r="N146"/>
    </row>
    <row r="147" spans="1:14" ht="34.200000000000003" customHeight="1" x14ac:dyDescent="0.3">
      <c r="A147" s="67" t="s">
        <v>232</v>
      </c>
      <c r="B147" s="67" t="s">
        <v>108</v>
      </c>
      <c r="C147" s="67" t="s">
        <v>109</v>
      </c>
      <c r="D147" s="67"/>
      <c r="E147" s="67" t="s">
        <v>95</v>
      </c>
      <c r="F147" s="68">
        <v>2370</v>
      </c>
      <c r="G147" s="118" t="s">
        <v>233</v>
      </c>
      <c r="H147" s="113"/>
      <c r="I147" s="113"/>
      <c r="J147" s="115"/>
      <c r="K147" s="116"/>
      <c r="L147" s="113"/>
      <c r="M147" s="113">
        <v>150</v>
      </c>
      <c r="N147"/>
    </row>
    <row r="148" spans="1:14" ht="21" customHeight="1" x14ac:dyDescent="0.3">
      <c r="A148" s="67" t="s">
        <v>234</v>
      </c>
      <c r="B148" s="67" t="s">
        <v>108</v>
      </c>
      <c r="C148" s="67" t="s">
        <v>109</v>
      </c>
      <c r="D148" s="67"/>
      <c r="E148" s="67" t="s">
        <v>95</v>
      </c>
      <c r="F148" s="68">
        <v>2370</v>
      </c>
      <c r="G148" s="118" t="s">
        <v>235</v>
      </c>
      <c r="H148" s="113"/>
      <c r="I148" s="113"/>
      <c r="J148" s="115"/>
      <c r="K148" s="116"/>
      <c r="L148" s="113"/>
      <c r="M148" s="113">
        <v>194.6</v>
      </c>
      <c r="N148"/>
    </row>
    <row r="149" spans="1:14" ht="40.799999999999997" x14ac:dyDescent="0.3">
      <c r="A149" s="67" t="s">
        <v>234</v>
      </c>
      <c r="B149" s="67" t="s">
        <v>108</v>
      </c>
      <c r="C149" s="67" t="s">
        <v>109</v>
      </c>
      <c r="D149" s="67"/>
      <c r="E149" s="67" t="s">
        <v>95</v>
      </c>
      <c r="F149" s="68">
        <v>2370</v>
      </c>
      <c r="G149" s="118" t="s">
        <v>236</v>
      </c>
      <c r="H149" s="120"/>
      <c r="I149" s="120"/>
      <c r="J149" s="121"/>
      <c r="K149" s="122"/>
      <c r="L149" s="120"/>
      <c r="M149" s="113">
        <v>483</v>
      </c>
      <c r="N149"/>
    </row>
    <row r="150" spans="1:14" ht="51" x14ac:dyDescent="0.3">
      <c r="A150" s="67" t="s">
        <v>182</v>
      </c>
      <c r="B150" s="67" t="s">
        <v>108</v>
      </c>
      <c r="C150" s="67" t="s">
        <v>109</v>
      </c>
      <c r="D150" s="67"/>
      <c r="E150" s="67" t="s">
        <v>95</v>
      </c>
      <c r="F150" s="68">
        <v>2370</v>
      </c>
      <c r="G150" s="94" t="s">
        <v>237</v>
      </c>
      <c r="H150" s="120"/>
      <c r="I150" s="120"/>
      <c r="J150" s="121"/>
      <c r="K150" s="122"/>
      <c r="L150" s="120"/>
      <c r="M150" s="120">
        <v>250</v>
      </c>
      <c r="N150" s="157"/>
    </row>
    <row r="151" spans="1:14" x14ac:dyDescent="0.3">
      <c r="A151" s="60"/>
      <c r="B151" s="60" t="s">
        <v>98</v>
      </c>
      <c r="C151" s="60" t="s">
        <v>99</v>
      </c>
      <c r="D151" s="60">
        <v>902</v>
      </c>
      <c r="E151" s="60" t="s">
        <v>95</v>
      </c>
      <c r="F151" s="61">
        <v>2370</v>
      </c>
      <c r="G151" s="153" t="s">
        <v>238</v>
      </c>
      <c r="H151" s="105">
        <v>270.51</v>
      </c>
      <c r="I151" s="104"/>
      <c r="J151" s="90"/>
      <c r="K151" s="122"/>
      <c r="L151" s="172">
        <f>SUM(M152:M153)</f>
        <v>630</v>
      </c>
      <c r="M151" s="104"/>
      <c r="N151"/>
    </row>
    <row r="152" spans="1:14" x14ac:dyDescent="0.3">
      <c r="A152" s="67"/>
      <c r="B152" s="67" t="s">
        <v>98</v>
      </c>
      <c r="C152" s="67" t="s">
        <v>99</v>
      </c>
      <c r="D152" s="67"/>
      <c r="E152" s="67" t="s">
        <v>95</v>
      </c>
      <c r="F152" s="68">
        <v>2370</v>
      </c>
      <c r="G152" s="173" t="s">
        <v>239</v>
      </c>
      <c r="H152" s="124"/>
      <c r="I152" s="121">
        <v>270.51</v>
      </c>
      <c r="J152" s="121">
        <v>270.51</v>
      </c>
      <c r="K152" s="122"/>
      <c r="L152" s="124"/>
      <c r="M152" s="124"/>
      <c r="N152"/>
    </row>
    <row r="153" spans="1:14" x14ac:dyDescent="0.3">
      <c r="A153" s="67"/>
      <c r="B153" s="67" t="s">
        <v>98</v>
      </c>
      <c r="C153" s="67" t="s">
        <v>99</v>
      </c>
      <c r="D153" s="67"/>
      <c r="E153" s="67" t="s">
        <v>95</v>
      </c>
      <c r="F153" s="68">
        <v>2370</v>
      </c>
      <c r="G153" s="173" t="s">
        <v>240</v>
      </c>
      <c r="H153" s="124"/>
      <c r="I153" s="120"/>
      <c r="J153" s="121"/>
      <c r="K153" s="122"/>
      <c r="L153" s="124"/>
      <c r="M153" s="124">
        <v>630</v>
      </c>
      <c r="N153"/>
    </row>
    <row r="154" spans="1:14" x14ac:dyDescent="0.3">
      <c r="A154" s="73"/>
      <c r="B154" s="73" t="s">
        <v>108</v>
      </c>
      <c r="C154" s="60" t="s">
        <v>126</v>
      </c>
      <c r="D154" s="60">
        <v>902</v>
      </c>
      <c r="E154" s="60" t="s">
        <v>95</v>
      </c>
      <c r="F154" s="152">
        <v>2390</v>
      </c>
      <c r="G154" s="153" t="s">
        <v>241</v>
      </c>
      <c r="H154" s="89"/>
      <c r="I154" s="89"/>
      <c r="J154" s="90"/>
      <c r="K154" s="105"/>
      <c r="L154" s="89">
        <f>SUM(M155:M167)</f>
        <v>3247</v>
      </c>
      <c r="M154" s="89"/>
      <c r="N154"/>
    </row>
    <row r="155" spans="1:14" ht="30.6" x14ac:dyDescent="0.3">
      <c r="A155" s="67"/>
      <c r="B155" s="67" t="s">
        <v>108</v>
      </c>
      <c r="C155" s="67" t="s">
        <v>126</v>
      </c>
      <c r="D155" s="67"/>
      <c r="E155" s="67" t="s">
        <v>95</v>
      </c>
      <c r="F155" s="68">
        <v>2390</v>
      </c>
      <c r="G155" s="118" t="s">
        <v>242</v>
      </c>
      <c r="H155" s="113"/>
      <c r="I155" s="113"/>
      <c r="J155" s="115"/>
      <c r="K155" s="116"/>
      <c r="L155" s="113"/>
      <c r="M155" s="113">
        <v>240</v>
      </c>
      <c r="N155"/>
    </row>
    <row r="156" spans="1:14" x14ac:dyDescent="0.3">
      <c r="A156" s="67" t="s">
        <v>232</v>
      </c>
      <c r="B156" s="67" t="s">
        <v>108</v>
      </c>
      <c r="C156" s="67" t="s">
        <v>126</v>
      </c>
      <c r="D156" s="67"/>
      <c r="E156" s="67" t="s">
        <v>95</v>
      </c>
      <c r="F156" s="68">
        <v>2390</v>
      </c>
      <c r="G156" s="119" t="s">
        <v>243</v>
      </c>
      <c r="H156" s="113"/>
      <c r="I156" s="113"/>
      <c r="J156" s="115"/>
      <c r="K156" s="116"/>
      <c r="L156" s="113"/>
      <c r="M156" s="113">
        <v>250</v>
      </c>
      <c r="N156"/>
    </row>
    <row r="157" spans="1:14" ht="30.6" x14ac:dyDescent="0.3">
      <c r="A157" s="67" t="s">
        <v>182</v>
      </c>
      <c r="B157" s="67" t="s">
        <v>108</v>
      </c>
      <c r="C157" s="67" t="s">
        <v>126</v>
      </c>
      <c r="D157" s="67"/>
      <c r="E157" s="67" t="s">
        <v>95</v>
      </c>
      <c r="F157" s="68">
        <v>2390</v>
      </c>
      <c r="G157" s="118" t="s">
        <v>244</v>
      </c>
      <c r="H157" s="113"/>
      <c r="I157" s="113"/>
      <c r="J157" s="115"/>
      <c r="K157" s="116"/>
      <c r="L157" s="113"/>
      <c r="M157" s="117">
        <f>380-230</f>
        <v>150</v>
      </c>
      <c r="N157" s="66" t="s">
        <v>245</v>
      </c>
    </row>
    <row r="158" spans="1:14" ht="30.6" x14ac:dyDescent="0.3">
      <c r="A158" s="67"/>
      <c r="B158" s="67" t="s">
        <v>108</v>
      </c>
      <c r="C158" s="67" t="s">
        <v>126</v>
      </c>
      <c r="D158" s="67"/>
      <c r="E158" s="67" t="s">
        <v>95</v>
      </c>
      <c r="F158" s="68">
        <v>2390</v>
      </c>
      <c r="G158" s="94" t="s">
        <v>246</v>
      </c>
      <c r="H158" s="113"/>
      <c r="I158" s="113"/>
      <c r="J158" s="115"/>
      <c r="K158" s="116"/>
      <c r="L158" s="113"/>
      <c r="M158" s="113">
        <v>250</v>
      </c>
      <c r="N158"/>
    </row>
    <row r="159" spans="1:14" ht="51" x14ac:dyDescent="0.3">
      <c r="A159" s="67"/>
      <c r="B159" s="67" t="s">
        <v>108</v>
      </c>
      <c r="C159" s="67" t="s">
        <v>126</v>
      </c>
      <c r="D159" s="67"/>
      <c r="E159" s="67" t="s">
        <v>95</v>
      </c>
      <c r="F159" s="68">
        <v>2390</v>
      </c>
      <c r="G159" s="94" t="s">
        <v>247</v>
      </c>
      <c r="H159" s="113"/>
      <c r="I159" s="113"/>
      <c r="J159" s="115"/>
      <c r="K159" s="116"/>
      <c r="L159" s="113"/>
      <c r="M159" s="113">
        <v>200</v>
      </c>
      <c r="N159"/>
    </row>
    <row r="160" spans="1:14" ht="20.399999999999999" x14ac:dyDescent="0.3">
      <c r="A160" s="67"/>
      <c r="B160" s="67" t="s">
        <v>108</v>
      </c>
      <c r="C160" s="67" t="s">
        <v>126</v>
      </c>
      <c r="D160" s="67"/>
      <c r="E160" s="67" t="s">
        <v>95</v>
      </c>
      <c r="F160" s="68">
        <v>2390</v>
      </c>
      <c r="G160" s="118" t="s">
        <v>248</v>
      </c>
      <c r="H160" s="113"/>
      <c r="I160" s="113"/>
      <c r="J160" s="115"/>
      <c r="K160" s="116"/>
      <c r="L160" s="113"/>
      <c r="M160" s="113">
        <v>57</v>
      </c>
      <c r="N160"/>
    </row>
    <row r="161" spans="1:14" ht="40.799999999999997" x14ac:dyDescent="0.3">
      <c r="A161" s="67" t="s">
        <v>249</v>
      </c>
      <c r="B161" s="67" t="s">
        <v>108</v>
      </c>
      <c r="C161" s="67" t="s">
        <v>126</v>
      </c>
      <c r="D161" s="67"/>
      <c r="E161" s="67" t="s">
        <v>95</v>
      </c>
      <c r="F161" s="68">
        <v>2390</v>
      </c>
      <c r="G161" s="118" t="s">
        <v>250</v>
      </c>
      <c r="H161" s="113"/>
      <c r="I161" s="113"/>
      <c r="J161" s="115"/>
      <c r="K161" s="116"/>
      <c r="L161" s="113"/>
      <c r="M161" s="113">
        <v>300</v>
      </c>
      <c r="N161"/>
    </row>
    <row r="162" spans="1:14" ht="51" x14ac:dyDescent="0.3">
      <c r="A162" s="67" t="s">
        <v>251</v>
      </c>
      <c r="B162" s="67" t="s">
        <v>108</v>
      </c>
      <c r="C162" s="67" t="s">
        <v>126</v>
      </c>
      <c r="D162" s="67"/>
      <c r="E162" s="67" t="s">
        <v>95</v>
      </c>
      <c r="F162" s="68">
        <v>2390</v>
      </c>
      <c r="G162" s="118" t="s">
        <v>252</v>
      </c>
      <c r="H162" s="113"/>
      <c r="I162" s="113"/>
      <c r="J162" s="115"/>
      <c r="K162" s="116"/>
      <c r="L162" s="113"/>
      <c r="M162" s="117">
        <f>470-470</f>
        <v>0</v>
      </c>
      <c r="N162" t="s">
        <v>245</v>
      </c>
    </row>
    <row r="163" spans="1:14" ht="30.6" x14ac:dyDescent="0.3">
      <c r="A163" s="67"/>
      <c r="B163" s="67" t="s">
        <v>108</v>
      </c>
      <c r="C163" s="67" t="s">
        <v>126</v>
      </c>
      <c r="D163" s="67"/>
      <c r="E163" s="67" t="s">
        <v>95</v>
      </c>
      <c r="F163" s="68">
        <v>2390</v>
      </c>
      <c r="G163" s="118" t="s">
        <v>253</v>
      </c>
      <c r="H163" s="113"/>
      <c r="I163" s="113"/>
      <c r="J163" s="115"/>
      <c r="K163" s="116"/>
      <c r="L163" s="113"/>
      <c r="M163" s="113">
        <v>50</v>
      </c>
      <c r="N163"/>
    </row>
    <row r="164" spans="1:14" x14ac:dyDescent="0.3">
      <c r="A164" s="67"/>
      <c r="B164" s="67" t="s">
        <v>108</v>
      </c>
      <c r="C164" s="67" t="s">
        <v>126</v>
      </c>
      <c r="D164" s="67"/>
      <c r="E164" s="67" t="s">
        <v>95</v>
      </c>
      <c r="F164" s="68">
        <v>2390</v>
      </c>
      <c r="G164" s="119" t="s">
        <v>254</v>
      </c>
      <c r="H164" s="113"/>
      <c r="I164" s="113"/>
      <c r="J164" s="115"/>
      <c r="K164" s="116"/>
      <c r="L164" s="113"/>
      <c r="M164" s="113">
        <v>200</v>
      </c>
      <c r="N164"/>
    </row>
    <row r="165" spans="1:14" ht="40.799999999999997" x14ac:dyDescent="0.3">
      <c r="A165" s="67" t="s">
        <v>182</v>
      </c>
      <c r="B165" s="67" t="s">
        <v>108</v>
      </c>
      <c r="C165" s="67" t="s">
        <v>126</v>
      </c>
      <c r="D165" s="67"/>
      <c r="E165" s="67" t="s">
        <v>95</v>
      </c>
      <c r="F165" s="68">
        <v>2390</v>
      </c>
      <c r="G165" s="118" t="s">
        <v>255</v>
      </c>
      <c r="H165" s="120"/>
      <c r="I165" s="120"/>
      <c r="J165" s="121"/>
      <c r="K165" s="122"/>
      <c r="L165" s="120"/>
      <c r="M165" s="165">
        <f>180-180</f>
        <v>0</v>
      </c>
      <c r="N165"/>
    </row>
    <row r="166" spans="1:14" x14ac:dyDescent="0.3">
      <c r="A166" s="67" t="s">
        <v>256</v>
      </c>
      <c r="B166" s="67" t="s">
        <v>108</v>
      </c>
      <c r="C166" s="67" t="s">
        <v>126</v>
      </c>
      <c r="D166" s="67"/>
      <c r="E166" s="67" t="s">
        <v>95</v>
      </c>
      <c r="F166" s="68">
        <v>2390</v>
      </c>
      <c r="G166" s="119" t="s">
        <v>257</v>
      </c>
      <c r="H166" s="120"/>
      <c r="I166" s="120"/>
      <c r="J166" s="121"/>
      <c r="K166" s="122"/>
      <c r="L166" s="120"/>
      <c r="M166" s="120">
        <v>1350</v>
      </c>
      <c r="N166"/>
    </row>
    <row r="167" spans="1:14" x14ac:dyDescent="0.3">
      <c r="A167" s="67"/>
      <c r="B167" s="67" t="s">
        <v>108</v>
      </c>
      <c r="C167" s="67" t="s">
        <v>126</v>
      </c>
      <c r="D167" s="67"/>
      <c r="E167" s="67" t="s">
        <v>95</v>
      </c>
      <c r="F167" s="68">
        <v>2390</v>
      </c>
      <c r="G167" s="119" t="s">
        <v>258</v>
      </c>
      <c r="H167" s="120"/>
      <c r="I167" s="120"/>
      <c r="J167" s="121"/>
      <c r="K167" s="122"/>
      <c r="L167" s="120"/>
      <c r="M167" s="120">
        <v>200</v>
      </c>
      <c r="N167"/>
    </row>
    <row r="168" spans="1:14" x14ac:dyDescent="0.3">
      <c r="A168" s="73"/>
      <c r="B168" s="73" t="s">
        <v>167</v>
      </c>
      <c r="C168" s="60" t="s">
        <v>126</v>
      </c>
      <c r="D168" s="60">
        <v>902</v>
      </c>
      <c r="E168" s="60" t="s">
        <v>95</v>
      </c>
      <c r="F168" s="152" t="s">
        <v>259</v>
      </c>
      <c r="G168" s="153" t="s">
        <v>260</v>
      </c>
      <c r="H168" s="89">
        <v>770</v>
      </c>
      <c r="I168" s="89"/>
      <c r="J168" s="90">
        <v>430.31</v>
      </c>
      <c r="K168" s="105"/>
      <c r="L168" s="89">
        <f>SUM(M169)</f>
        <v>0</v>
      </c>
      <c r="M168" s="89"/>
      <c r="N168" s="66"/>
    </row>
    <row r="169" spans="1:14" x14ac:dyDescent="0.3">
      <c r="A169" s="67"/>
      <c r="B169" s="67" t="s">
        <v>167</v>
      </c>
      <c r="C169" s="67" t="s">
        <v>126</v>
      </c>
      <c r="D169" s="67"/>
      <c r="E169" s="67" t="s">
        <v>95</v>
      </c>
      <c r="F169" s="68" t="s">
        <v>259</v>
      </c>
      <c r="G169" s="94"/>
      <c r="H169" s="113"/>
      <c r="I169" s="113"/>
      <c r="J169" s="115"/>
      <c r="K169" s="116"/>
      <c r="L169" s="113"/>
      <c r="M169" s="113"/>
      <c r="N169"/>
    </row>
    <row r="170" spans="1:14" ht="20.399999999999999" x14ac:dyDescent="0.3">
      <c r="A170" s="60"/>
      <c r="B170" s="60" t="s">
        <v>261</v>
      </c>
      <c r="C170" s="60" t="s">
        <v>262</v>
      </c>
      <c r="D170" s="60">
        <v>902</v>
      </c>
      <c r="E170" s="60" t="s">
        <v>95</v>
      </c>
      <c r="F170" s="61" t="s">
        <v>263</v>
      </c>
      <c r="G170" s="62" t="s">
        <v>264</v>
      </c>
      <c r="H170" s="89">
        <v>1225</v>
      </c>
      <c r="I170" s="89"/>
      <c r="J170" s="90">
        <v>1224.04</v>
      </c>
      <c r="K170" s="105"/>
      <c r="L170" s="89">
        <f>SUM(M171:M173)</f>
        <v>1497</v>
      </c>
      <c r="M170" s="89"/>
      <c r="N170"/>
    </row>
    <row r="171" spans="1:14" ht="40.799999999999997" x14ac:dyDescent="0.3">
      <c r="A171" s="67" t="s">
        <v>164</v>
      </c>
      <c r="B171" s="67" t="s">
        <v>261</v>
      </c>
      <c r="C171" s="67" t="s">
        <v>262</v>
      </c>
      <c r="D171" s="67"/>
      <c r="E171" s="67" t="s">
        <v>95</v>
      </c>
      <c r="F171" s="68" t="s">
        <v>263</v>
      </c>
      <c r="G171" s="94" t="s">
        <v>265</v>
      </c>
      <c r="H171" s="113"/>
      <c r="I171" s="113"/>
      <c r="J171" s="115"/>
      <c r="K171" s="116"/>
      <c r="L171" s="113"/>
      <c r="M171" s="174">
        <f>18*68</f>
        <v>1224</v>
      </c>
      <c r="N171"/>
    </row>
    <row r="172" spans="1:14" ht="30.6" x14ac:dyDescent="0.3">
      <c r="A172" s="67" t="s">
        <v>164</v>
      </c>
      <c r="B172" s="67" t="s">
        <v>261</v>
      </c>
      <c r="C172" s="67" t="s">
        <v>262</v>
      </c>
      <c r="D172" s="67"/>
      <c r="E172" s="67" t="s">
        <v>95</v>
      </c>
      <c r="F172" s="68">
        <v>5120</v>
      </c>
      <c r="G172" s="94" t="s">
        <v>266</v>
      </c>
      <c r="H172" s="120"/>
      <c r="I172" s="120"/>
      <c r="J172" s="121"/>
      <c r="K172" s="122"/>
      <c r="L172" s="120"/>
      <c r="M172" s="175">
        <v>205</v>
      </c>
      <c r="N172"/>
    </row>
    <row r="173" spans="1:14" ht="51" x14ac:dyDescent="0.3">
      <c r="A173" s="67" t="s">
        <v>164</v>
      </c>
      <c r="B173" s="67" t="s">
        <v>261</v>
      </c>
      <c r="C173" s="67" t="s">
        <v>262</v>
      </c>
      <c r="D173" s="67"/>
      <c r="E173" s="67" t="s">
        <v>95</v>
      </c>
      <c r="F173" s="68" t="s">
        <v>267</v>
      </c>
      <c r="G173" s="94" t="s">
        <v>268</v>
      </c>
      <c r="H173" s="120"/>
      <c r="I173" s="120"/>
      <c r="J173" s="121"/>
      <c r="K173" s="122"/>
      <c r="L173" s="120"/>
      <c r="M173" s="175">
        <v>68</v>
      </c>
      <c r="N173"/>
    </row>
    <row r="174" spans="1:14" x14ac:dyDescent="0.3">
      <c r="A174" s="60"/>
      <c r="B174" s="60" t="s">
        <v>167</v>
      </c>
      <c r="C174" s="60" t="s">
        <v>168</v>
      </c>
      <c r="D174" s="60">
        <v>902</v>
      </c>
      <c r="E174" s="60" t="s">
        <v>95</v>
      </c>
      <c r="F174" s="61">
        <v>5220</v>
      </c>
      <c r="G174" s="62" t="s">
        <v>269</v>
      </c>
      <c r="H174" s="89">
        <v>3520</v>
      </c>
      <c r="I174" s="89"/>
      <c r="J174" s="90">
        <v>3519.29</v>
      </c>
      <c r="K174" s="105"/>
      <c r="L174" s="89">
        <f>M175</f>
        <v>0</v>
      </c>
      <c r="M174" s="89"/>
      <c r="N174"/>
    </row>
    <row r="175" spans="1:14" x14ac:dyDescent="0.3">
      <c r="A175" s="67"/>
      <c r="B175" s="67" t="s">
        <v>167</v>
      </c>
      <c r="C175" s="67" t="s">
        <v>168</v>
      </c>
      <c r="D175" s="67"/>
      <c r="E175" s="67" t="s">
        <v>95</v>
      </c>
      <c r="F175" s="68">
        <v>5220</v>
      </c>
      <c r="G175" s="94"/>
      <c r="H175" s="113"/>
      <c r="I175" s="113"/>
      <c r="J175" s="115"/>
      <c r="K175" s="116"/>
      <c r="L175" s="113"/>
      <c r="M175" s="174"/>
      <c r="N175"/>
    </row>
    <row r="176" spans="1:14" x14ac:dyDescent="0.3">
      <c r="A176" s="60"/>
      <c r="B176" s="60" t="s">
        <v>261</v>
      </c>
      <c r="C176" s="60" t="s">
        <v>262</v>
      </c>
      <c r="D176" s="60">
        <v>902</v>
      </c>
      <c r="E176" s="60" t="s">
        <v>95</v>
      </c>
      <c r="F176" s="61">
        <v>5238</v>
      </c>
      <c r="G176" s="62" t="s">
        <v>270</v>
      </c>
      <c r="H176" s="89"/>
      <c r="I176" s="89"/>
      <c r="J176" s="90"/>
      <c r="K176" s="105"/>
      <c r="L176" s="89">
        <f>M177</f>
        <v>650</v>
      </c>
      <c r="M176" s="89"/>
      <c r="N176"/>
    </row>
    <row r="177" spans="1:14" ht="22.2" customHeight="1" x14ac:dyDescent="0.3">
      <c r="A177" s="67" t="s">
        <v>271</v>
      </c>
      <c r="B177" s="67" t="s">
        <v>261</v>
      </c>
      <c r="C177" s="67" t="s">
        <v>262</v>
      </c>
      <c r="D177" s="67"/>
      <c r="E177" s="67" t="s">
        <v>95</v>
      </c>
      <c r="F177" s="68">
        <v>5238</v>
      </c>
      <c r="G177" s="94" t="s">
        <v>272</v>
      </c>
      <c r="H177" s="113"/>
      <c r="I177" s="113"/>
      <c r="J177" s="115"/>
      <c r="K177" s="116"/>
      <c r="L177" s="113"/>
      <c r="M177" s="174">
        <v>650</v>
      </c>
      <c r="N177"/>
    </row>
    <row r="178" spans="1:14" x14ac:dyDescent="0.3">
      <c r="A178" s="60"/>
      <c r="B178" s="60" t="s">
        <v>261</v>
      </c>
      <c r="C178" s="60" t="s">
        <v>262</v>
      </c>
      <c r="D178" s="60">
        <v>902</v>
      </c>
      <c r="E178" s="60" t="s">
        <v>95</v>
      </c>
      <c r="F178" s="61">
        <v>5239</v>
      </c>
      <c r="G178" s="62" t="s">
        <v>273</v>
      </c>
      <c r="H178" s="89"/>
      <c r="I178" s="89"/>
      <c r="J178" s="90"/>
      <c r="K178" s="105"/>
      <c r="L178" s="89">
        <f>SUM(M179:M179)</f>
        <v>0</v>
      </c>
      <c r="M178" s="89"/>
      <c r="N178"/>
    </row>
    <row r="179" spans="1:14" x14ac:dyDescent="0.3">
      <c r="A179" s="67" t="s">
        <v>195</v>
      </c>
      <c r="B179" s="67" t="s">
        <v>261</v>
      </c>
      <c r="C179" s="67" t="s">
        <v>262</v>
      </c>
      <c r="D179" s="67"/>
      <c r="E179" s="67" t="s">
        <v>95</v>
      </c>
      <c r="F179" s="68">
        <v>5239</v>
      </c>
      <c r="G179" s="94"/>
      <c r="H179" s="124"/>
      <c r="I179" s="124"/>
      <c r="J179" s="121"/>
      <c r="K179" s="122"/>
      <c r="L179" s="120"/>
      <c r="M179" s="120"/>
      <c r="N179"/>
    </row>
    <row r="180" spans="1:14" x14ac:dyDescent="0.3">
      <c r="A180" s="60"/>
      <c r="B180" s="60" t="s">
        <v>167</v>
      </c>
      <c r="C180" s="60" t="s">
        <v>168</v>
      </c>
      <c r="D180" s="60">
        <v>902</v>
      </c>
      <c r="E180" s="60" t="s">
        <v>95</v>
      </c>
      <c r="F180" s="61">
        <v>5239</v>
      </c>
      <c r="G180" s="62" t="s">
        <v>273</v>
      </c>
      <c r="H180" s="89"/>
      <c r="I180" s="89"/>
      <c r="J180" s="90"/>
      <c r="K180" s="105"/>
      <c r="L180" s="89">
        <f>SUM(M181:M181)</f>
        <v>2410</v>
      </c>
      <c r="M180" s="89"/>
      <c r="N180"/>
    </row>
    <row r="181" spans="1:14" ht="40.799999999999997" x14ac:dyDescent="0.3">
      <c r="A181" s="67" t="s">
        <v>195</v>
      </c>
      <c r="B181" s="67" t="s">
        <v>167</v>
      </c>
      <c r="C181" s="67" t="s">
        <v>168</v>
      </c>
      <c r="D181" s="67"/>
      <c r="E181" s="67" t="s">
        <v>95</v>
      </c>
      <c r="F181" s="68">
        <v>5239</v>
      </c>
      <c r="G181" s="94" t="s">
        <v>274</v>
      </c>
      <c r="H181" s="124"/>
      <c r="I181" s="124"/>
      <c r="J181" s="121"/>
      <c r="K181" s="122"/>
      <c r="L181" s="120"/>
      <c r="M181" s="120">
        <v>2410</v>
      </c>
      <c r="N181"/>
    </row>
    <row r="182" spans="1:14" ht="20.399999999999999" x14ac:dyDescent="0.3">
      <c r="A182" s="60"/>
      <c r="B182" s="60" t="s">
        <v>167</v>
      </c>
      <c r="C182" s="60" t="s">
        <v>262</v>
      </c>
      <c r="D182" s="60">
        <v>902</v>
      </c>
      <c r="E182" s="60" t="s">
        <v>95</v>
      </c>
      <c r="F182" s="61" t="s">
        <v>275</v>
      </c>
      <c r="G182" s="62" t="s">
        <v>276</v>
      </c>
      <c r="H182" s="89">
        <f>I183+I184</f>
        <v>785029</v>
      </c>
      <c r="I182" s="89"/>
      <c r="J182" s="90">
        <v>769471</v>
      </c>
      <c r="K182" s="105"/>
      <c r="L182" s="89">
        <f>SUM(M183:M184)</f>
        <v>0</v>
      </c>
      <c r="M182" s="89"/>
      <c r="N182"/>
    </row>
    <row r="183" spans="1:14" x14ac:dyDescent="0.3">
      <c r="A183" s="67"/>
      <c r="B183" s="67" t="s">
        <v>167</v>
      </c>
      <c r="C183" s="67" t="s">
        <v>262</v>
      </c>
      <c r="D183" s="67"/>
      <c r="E183" s="67" t="s">
        <v>95</v>
      </c>
      <c r="F183" s="68">
        <v>5240</v>
      </c>
      <c r="G183" s="94" t="s">
        <v>277</v>
      </c>
      <c r="H183" s="124"/>
      <c r="I183" s="120">
        <f>384195+834</f>
        <v>385029</v>
      </c>
      <c r="J183" s="121"/>
      <c r="K183" s="122"/>
      <c r="L183" s="120"/>
      <c r="M183" s="120"/>
      <c r="N183"/>
    </row>
    <row r="184" spans="1:14" x14ac:dyDescent="0.3">
      <c r="A184" s="67"/>
      <c r="B184" s="67" t="s">
        <v>167</v>
      </c>
      <c r="C184" s="67" t="s">
        <v>262</v>
      </c>
      <c r="D184" s="67"/>
      <c r="E184" s="67" t="s">
        <v>95</v>
      </c>
      <c r="F184" s="68">
        <v>5240</v>
      </c>
      <c r="G184" s="94" t="s">
        <v>278</v>
      </c>
      <c r="H184" s="124"/>
      <c r="I184" s="120">
        <v>400000</v>
      </c>
      <c r="J184" s="121"/>
      <c r="K184" s="122"/>
      <c r="L184" s="120"/>
      <c r="M184" s="120"/>
      <c r="N184"/>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74"/>
  <sheetViews>
    <sheetView workbookViewId="0">
      <selection activeCell="F21" sqref="F21"/>
    </sheetView>
  </sheetViews>
  <sheetFormatPr defaultColWidth="9.109375" defaultRowHeight="10.199999999999999" x14ac:dyDescent="0.2"/>
  <cols>
    <col min="1" max="1" width="9.109375" style="189"/>
    <col min="2" max="2" width="7.33203125" style="189" customWidth="1"/>
    <col min="3" max="3" width="8.6640625" style="189" customWidth="1"/>
    <col min="4" max="4" width="11.33203125" style="59" customWidth="1"/>
    <col min="5" max="5" width="9.33203125" style="189" bestFit="1" customWidth="1"/>
    <col min="6" max="6" width="53" style="189" customWidth="1"/>
    <col min="7" max="7" width="9.88671875" style="189" bestFit="1" customWidth="1"/>
    <col min="8" max="8" width="9.109375" style="189" hidden="1" customWidth="1"/>
    <col min="9" max="9" width="9.33203125" style="189" bestFit="1" customWidth="1"/>
    <col min="10" max="10" width="3.33203125" style="189" customWidth="1"/>
    <col min="11" max="11" width="11.6640625" style="189" customWidth="1"/>
    <col min="12" max="12" width="13.5546875" style="189" customWidth="1"/>
    <col min="13" max="13" width="43.6640625" style="189" hidden="1" customWidth="1"/>
    <col min="14" max="16384" width="9.109375" style="189"/>
  </cols>
  <sheetData>
    <row r="1" spans="1:13" ht="40.799999999999997" x14ac:dyDescent="0.2">
      <c r="A1" s="49" t="s">
        <v>286</v>
      </c>
      <c r="B1" s="49" t="s">
        <v>82</v>
      </c>
      <c r="C1" s="49" t="s">
        <v>84</v>
      </c>
      <c r="D1" s="49" t="s">
        <v>85</v>
      </c>
      <c r="E1" s="49" t="s">
        <v>35</v>
      </c>
      <c r="F1" s="49" t="s">
        <v>86</v>
      </c>
      <c r="G1" s="49" t="s">
        <v>87</v>
      </c>
      <c r="H1" s="49" t="s">
        <v>88</v>
      </c>
      <c r="I1" s="185" t="s">
        <v>287</v>
      </c>
      <c r="J1" s="186" t="s">
        <v>90</v>
      </c>
      <c r="K1" s="187" t="s">
        <v>91</v>
      </c>
      <c r="L1" s="187" t="s">
        <v>92</v>
      </c>
      <c r="M1" s="188" t="s">
        <v>288</v>
      </c>
    </row>
    <row r="2" spans="1:13" x14ac:dyDescent="0.2">
      <c r="A2" s="190"/>
      <c r="B2" s="190"/>
      <c r="C2" s="60" t="s">
        <v>289</v>
      </c>
      <c r="D2" s="60" t="s">
        <v>290</v>
      </c>
      <c r="E2" s="61">
        <v>1119</v>
      </c>
      <c r="F2" s="191" t="s">
        <v>291</v>
      </c>
      <c r="G2" s="192">
        <v>65400</v>
      </c>
      <c r="H2" s="192"/>
      <c r="I2" s="193">
        <v>34540</v>
      </c>
      <c r="J2" s="194"/>
      <c r="K2" s="192">
        <f>L3</f>
        <v>57600</v>
      </c>
      <c r="L2" s="192"/>
      <c r="M2" s="195"/>
    </row>
    <row r="3" spans="1:13" x14ac:dyDescent="0.2">
      <c r="A3" s="196"/>
      <c r="B3" s="196"/>
      <c r="C3" s="67" t="s">
        <v>289</v>
      </c>
      <c r="D3" s="67" t="s">
        <v>290</v>
      </c>
      <c r="E3" s="68">
        <v>1119</v>
      </c>
      <c r="F3" s="197" t="s">
        <v>291</v>
      </c>
      <c r="G3" s="198"/>
      <c r="H3" s="198"/>
      <c r="I3" s="199"/>
      <c r="J3" s="200"/>
      <c r="K3" s="198"/>
      <c r="L3" s="198">
        <f>[2]Algas_064_113!C35</f>
        <v>57600</v>
      </c>
      <c r="M3" s="201"/>
    </row>
    <row r="4" spans="1:13" x14ac:dyDescent="0.2">
      <c r="A4" s="190"/>
      <c r="B4" s="190"/>
      <c r="C4" s="60" t="s">
        <v>289</v>
      </c>
      <c r="D4" s="60" t="s">
        <v>290</v>
      </c>
      <c r="E4" s="61">
        <v>1142</v>
      </c>
      <c r="F4" s="191" t="s">
        <v>292</v>
      </c>
      <c r="G4" s="192">
        <v>900</v>
      </c>
      <c r="H4" s="192"/>
      <c r="I4" s="193">
        <v>641</v>
      </c>
      <c r="J4" s="194"/>
      <c r="K4" s="192">
        <f>L5</f>
        <v>750</v>
      </c>
      <c r="L4" s="192"/>
      <c r="M4" s="195"/>
    </row>
    <row r="5" spans="1:13" x14ac:dyDescent="0.2">
      <c r="A5" s="196"/>
      <c r="B5" s="196"/>
      <c r="C5" s="67" t="s">
        <v>289</v>
      </c>
      <c r="D5" s="67" t="s">
        <v>290</v>
      </c>
      <c r="E5" s="68">
        <v>1142</v>
      </c>
      <c r="F5" s="197" t="s">
        <v>292</v>
      </c>
      <c r="G5" s="198"/>
      <c r="H5" s="198"/>
      <c r="I5" s="199"/>
      <c r="J5" s="200"/>
      <c r="K5" s="198"/>
      <c r="L5" s="198">
        <f>[2]Algas_064_113!C37</f>
        <v>750</v>
      </c>
      <c r="M5" s="201"/>
    </row>
    <row r="6" spans="1:13" x14ac:dyDescent="0.2">
      <c r="A6" s="190"/>
      <c r="B6" s="190"/>
      <c r="C6" s="60" t="s">
        <v>289</v>
      </c>
      <c r="D6" s="60" t="s">
        <v>290</v>
      </c>
      <c r="E6" s="61">
        <v>1147</v>
      </c>
      <c r="F6" s="191" t="s">
        <v>293</v>
      </c>
      <c r="G6" s="192">
        <v>3470</v>
      </c>
      <c r="H6" s="192"/>
      <c r="I6" s="193">
        <v>843</v>
      </c>
      <c r="J6" s="194"/>
      <c r="K6" s="192">
        <f>L7</f>
        <v>4050</v>
      </c>
      <c r="L6" s="192"/>
      <c r="M6" s="195"/>
    </row>
    <row r="7" spans="1:13" x14ac:dyDescent="0.2">
      <c r="A7" s="196"/>
      <c r="B7" s="196"/>
      <c r="C7" s="67" t="s">
        <v>289</v>
      </c>
      <c r="D7" s="67" t="s">
        <v>290</v>
      </c>
      <c r="E7" s="68">
        <v>1147</v>
      </c>
      <c r="F7" s="197" t="s">
        <v>293</v>
      </c>
      <c r="G7" s="198"/>
      <c r="H7" s="198"/>
      <c r="I7" s="199"/>
      <c r="J7" s="200"/>
      <c r="K7" s="198"/>
      <c r="L7" s="198">
        <f>[2]Algas_064_113!C38</f>
        <v>4050</v>
      </c>
      <c r="M7" s="201"/>
    </row>
    <row r="8" spans="1:13" x14ac:dyDescent="0.2">
      <c r="A8" s="190"/>
      <c r="B8" s="190"/>
      <c r="C8" s="60" t="s">
        <v>289</v>
      </c>
      <c r="D8" s="60" t="s">
        <v>290</v>
      </c>
      <c r="E8" s="61">
        <v>1210</v>
      </c>
      <c r="F8" s="191" t="s">
        <v>112</v>
      </c>
      <c r="G8" s="192">
        <v>17464</v>
      </c>
      <c r="H8" s="192"/>
      <c r="I8" s="193">
        <v>8114</v>
      </c>
      <c r="J8" s="194"/>
      <c r="K8" s="192">
        <f>L9</f>
        <v>15286.32</v>
      </c>
      <c r="L8" s="192"/>
      <c r="M8" s="195"/>
    </row>
    <row r="9" spans="1:13" x14ac:dyDescent="0.2">
      <c r="A9" s="196"/>
      <c r="B9" s="196"/>
      <c r="C9" s="67" t="s">
        <v>289</v>
      </c>
      <c r="D9" s="67" t="s">
        <v>290</v>
      </c>
      <c r="E9" s="68">
        <v>1210</v>
      </c>
      <c r="F9" s="197" t="s">
        <v>112</v>
      </c>
      <c r="G9" s="198"/>
      <c r="H9" s="198"/>
      <c r="I9" s="199"/>
      <c r="J9" s="200"/>
      <c r="K9" s="198"/>
      <c r="L9" s="198">
        <f>[2]Algas_064_113!C41</f>
        <v>15286.32</v>
      </c>
      <c r="M9" s="201"/>
    </row>
    <row r="10" spans="1:13" x14ac:dyDescent="0.2">
      <c r="A10" s="190"/>
      <c r="B10" s="190"/>
      <c r="C10" s="60" t="s">
        <v>289</v>
      </c>
      <c r="D10" s="60" t="s">
        <v>290</v>
      </c>
      <c r="E10" s="61">
        <v>1221</v>
      </c>
      <c r="F10" s="62" t="s">
        <v>294</v>
      </c>
      <c r="G10" s="192">
        <v>2725</v>
      </c>
      <c r="H10" s="192"/>
      <c r="I10" s="193">
        <v>1319</v>
      </c>
      <c r="J10" s="194"/>
      <c r="K10" s="192">
        <f>L11</f>
        <v>2400</v>
      </c>
      <c r="L10" s="192"/>
      <c r="M10" s="195"/>
    </row>
    <row r="11" spans="1:13" x14ac:dyDescent="0.2">
      <c r="A11" s="196"/>
      <c r="B11" s="196"/>
      <c r="C11" s="67" t="s">
        <v>289</v>
      </c>
      <c r="D11" s="67" t="s">
        <v>290</v>
      </c>
      <c r="E11" s="68">
        <v>1221</v>
      </c>
      <c r="F11" s="197" t="s">
        <v>294</v>
      </c>
      <c r="G11" s="198"/>
      <c r="H11" s="198"/>
      <c r="I11" s="199"/>
      <c r="J11" s="200"/>
      <c r="K11" s="198"/>
      <c r="L11" s="198">
        <f>[2]Algas_064_113!C42</f>
        <v>2400</v>
      </c>
      <c r="M11" s="201"/>
    </row>
    <row r="12" spans="1:13" x14ac:dyDescent="0.2">
      <c r="A12" s="190"/>
      <c r="B12" s="190"/>
      <c r="C12" s="60" t="s">
        <v>289</v>
      </c>
      <c r="D12" s="60" t="s">
        <v>290</v>
      </c>
      <c r="E12" s="61">
        <v>1227</v>
      </c>
      <c r="F12" s="62" t="s">
        <v>295</v>
      </c>
      <c r="G12" s="192">
        <v>360</v>
      </c>
      <c r="H12" s="192"/>
      <c r="I12" s="193">
        <v>0</v>
      </c>
      <c r="J12" s="194"/>
      <c r="K12" s="192">
        <f>L13</f>
        <v>720</v>
      </c>
      <c r="L12" s="192"/>
      <c r="M12" s="195"/>
    </row>
    <row r="13" spans="1:13" ht="20.399999999999999" x14ac:dyDescent="0.2">
      <c r="A13" s="196"/>
      <c r="B13" s="196"/>
      <c r="C13" s="67" t="s">
        <v>289</v>
      </c>
      <c r="D13" s="67" t="s">
        <v>290</v>
      </c>
      <c r="E13" s="68">
        <v>1227</v>
      </c>
      <c r="F13" s="197" t="s">
        <v>295</v>
      </c>
      <c r="G13" s="198"/>
      <c r="H13" s="198"/>
      <c r="I13" s="199"/>
      <c r="J13" s="200"/>
      <c r="K13" s="198"/>
      <c r="L13" s="198">
        <f>[2]Algas_064_113!C43</f>
        <v>720</v>
      </c>
      <c r="M13" s="201"/>
    </row>
    <row r="14" spans="1:13" x14ac:dyDescent="0.2">
      <c r="A14" s="190"/>
      <c r="B14" s="190"/>
      <c r="C14" s="60" t="s">
        <v>289</v>
      </c>
      <c r="D14" s="60" t="s">
        <v>290</v>
      </c>
      <c r="E14" s="61">
        <v>2210</v>
      </c>
      <c r="F14" s="191" t="s">
        <v>127</v>
      </c>
      <c r="G14" s="192">
        <v>40</v>
      </c>
      <c r="H14" s="192"/>
      <c r="I14" s="193">
        <v>36</v>
      </c>
      <c r="J14" s="194"/>
      <c r="K14" s="192">
        <f>L15</f>
        <v>90</v>
      </c>
      <c r="L14" s="192"/>
      <c r="M14" s="195"/>
    </row>
    <row r="15" spans="1:13" x14ac:dyDescent="0.2">
      <c r="A15" s="196"/>
      <c r="B15" s="196"/>
      <c r="C15" s="67" t="s">
        <v>289</v>
      </c>
      <c r="D15" s="67" t="s">
        <v>290</v>
      </c>
      <c r="E15" s="68">
        <v>2210</v>
      </c>
      <c r="F15" s="197" t="s">
        <v>127</v>
      </c>
      <c r="G15" s="198"/>
      <c r="H15" s="198"/>
      <c r="I15" s="199"/>
      <c r="J15" s="200"/>
      <c r="K15" s="198"/>
      <c r="L15" s="198">
        <v>90</v>
      </c>
      <c r="M15" s="201"/>
    </row>
    <row r="16" spans="1:13" x14ac:dyDescent="0.2">
      <c r="A16" s="190"/>
      <c r="B16" s="190"/>
      <c r="C16" s="73" t="s">
        <v>289</v>
      </c>
      <c r="D16" s="73" t="s">
        <v>290</v>
      </c>
      <c r="E16" s="61">
        <v>2222</v>
      </c>
      <c r="F16" s="191" t="s">
        <v>134</v>
      </c>
      <c r="G16" s="192">
        <v>0</v>
      </c>
      <c r="H16" s="192"/>
      <c r="I16" s="193">
        <v>0</v>
      </c>
      <c r="J16" s="194"/>
      <c r="K16" s="192">
        <f>L17</f>
        <v>0</v>
      </c>
      <c r="L16" s="192"/>
    </row>
    <row r="17" spans="1:13" x14ac:dyDescent="0.2">
      <c r="A17" s="196"/>
      <c r="B17" s="196"/>
      <c r="C17" s="67" t="s">
        <v>289</v>
      </c>
      <c r="D17" s="67" t="s">
        <v>290</v>
      </c>
      <c r="E17" s="68">
        <v>2222</v>
      </c>
      <c r="F17" s="197" t="s">
        <v>134</v>
      </c>
      <c r="G17" s="198"/>
      <c r="H17" s="198"/>
      <c r="I17" s="199"/>
      <c r="J17" s="200"/>
      <c r="K17" s="198"/>
      <c r="L17" s="198"/>
      <c r="M17" s="202"/>
    </row>
    <row r="18" spans="1:13" x14ac:dyDescent="0.2">
      <c r="A18" s="190"/>
      <c r="B18" s="190"/>
      <c r="C18" s="73" t="s">
        <v>289</v>
      </c>
      <c r="D18" s="73" t="s">
        <v>290</v>
      </c>
      <c r="E18" s="61">
        <v>2223</v>
      </c>
      <c r="F18" s="191" t="s">
        <v>136</v>
      </c>
      <c r="G18" s="192">
        <v>960</v>
      </c>
      <c r="H18" s="192"/>
      <c r="I18" s="193">
        <v>957</v>
      </c>
      <c r="J18" s="194"/>
      <c r="K18" s="192">
        <f>L19</f>
        <v>0</v>
      </c>
      <c r="L18" s="192"/>
      <c r="M18" s="203"/>
    </row>
    <row r="19" spans="1:13" x14ac:dyDescent="0.2">
      <c r="A19" s="196"/>
      <c r="B19" s="196"/>
      <c r="C19" s="67" t="s">
        <v>289</v>
      </c>
      <c r="D19" s="67" t="s">
        <v>290</v>
      </c>
      <c r="E19" s="68">
        <v>2223</v>
      </c>
      <c r="F19" s="197" t="s">
        <v>136</v>
      </c>
      <c r="G19" s="198"/>
      <c r="H19" s="198"/>
      <c r="I19" s="199"/>
      <c r="J19" s="200"/>
      <c r="K19" s="198"/>
      <c r="L19" s="198"/>
      <c r="M19" s="204"/>
    </row>
    <row r="20" spans="1:13" ht="20.399999999999999" x14ac:dyDescent="0.2">
      <c r="A20" s="190"/>
      <c r="B20" s="190"/>
      <c r="C20" s="73" t="s">
        <v>289</v>
      </c>
      <c r="D20" s="73" t="s">
        <v>290</v>
      </c>
      <c r="E20" s="61">
        <v>2224</v>
      </c>
      <c r="F20" s="191" t="s">
        <v>138</v>
      </c>
      <c r="G20" s="205">
        <v>1450</v>
      </c>
      <c r="H20" s="205"/>
      <c r="I20" s="206">
        <v>652</v>
      </c>
      <c r="J20" s="207"/>
      <c r="K20" s="192">
        <f>L21</f>
        <v>1500</v>
      </c>
      <c r="L20" s="205"/>
    </row>
    <row r="21" spans="1:13" x14ac:dyDescent="0.2">
      <c r="A21" s="196"/>
      <c r="B21" s="196"/>
      <c r="C21" s="67" t="s">
        <v>289</v>
      </c>
      <c r="D21" s="67" t="s">
        <v>290</v>
      </c>
      <c r="E21" s="68">
        <v>2224</v>
      </c>
      <c r="F21" s="197" t="s">
        <v>296</v>
      </c>
      <c r="G21" s="208"/>
      <c r="H21" s="208"/>
      <c r="I21" s="209"/>
      <c r="J21" s="210"/>
      <c r="K21" s="208"/>
      <c r="L21" s="208">
        <v>1500</v>
      </c>
      <c r="M21" s="204"/>
    </row>
    <row r="22" spans="1:13" x14ac:dyDescent="0.2">
      <c r="A22" s="190"/>
      <c r="B22" s="190"/>
      <c r="C22" s="73" t="s">
        <v>289</v>
      </c>
      <c r="D22" s="73" t="s">
        <v>290</v>
      </c>
      <c r="E22" s="61">
        <v>2233</v>
      </c>
      <c r="F22" s="191" t="s">
        <v>297</v>
      </c>
      <c r="G22" s="192">
        <v>15</v>
      </c>
      <c r="H22" s="192"/>
      <c r="I22" s="193">
        <v>13</v>
      </c>
      <c r="J22" s="194"/>
      <c r="K22" s="192">
        <f>L23</f>
        <v>50</v>
      </c>
      <c r="L22" s="192"/>
    </row>
    <row r="23" spans="1:13" x14ac:dyDescent="0.2">
      <c r="A23" s="196"/>
      <c r="B23" s="196"/>
      <c r="C23" s="67" t="s">
        <v>289</v>
      </c>
      <c r="D23" s="67" t="s">
        <v>290</v>
      </c>
      <c r="E23" s="68">
        <v>2233</v>
      </c>
      <c r="F23" s="197" t="s">
        <v>298</v>
      </c>
      <c r="G23" s="211"/>
      <c r="H23" s="211"/>
      <c r="I23" s="212"/>
      <c r="J23" s="210"/>
      <c r="K23" s="211"/>
      <c r="L23" s="211">
        <v>50</v>
      </c>
      <c r="M23" s="204"/>
    </row>
    <row r="24" spans="1:13" s="203" customFormat="1" x14ac:dyDescent="0.2">
      <c r="A24" s="213"/>
      <c r="B24" s="213"/>
      <c r="C24" s="73" t="s">
        <v>289</v>
      </c>
      <c r="D24" s="73" t="s">
        <v>290</v>
      </c>
      <c r="E24" s="152">
        <v>2235</v>
      </c>
      <c r="F24" s="191" t="s">
        <v>154</v>
      </c>
      <c r="G24" s="192">
        <v>200</v>
      </c>
      <c r="H24" s="192"/>
      <c r="I24" s="193">
        <v>143</v>
      </c>
      <c r="J24" s="194"/>
      <c r="K24" s="192">
        <f>L25</f>
        <v>50</v>
      </c>
      <c r="L24" s="192"/>
      <c r="M24" s="195"/>
    </row>
    <row r="25" spans="1:13" x14ac:dyDescent="0.2">
      <c r="A25" s="196"/>
      <c r="B25" s="196"/>
      <c r="C25" s="67" t="s">
        <v>289</v>
      </c>
      <c r="D25" s="67" t="s">
        <v>290</v>
      </c>
      <c r="E25" s="68">
        <v>2235</v>
      </c>
      <c r="F25" s="197" t="s">
        <v>299</v>
      </c>
      <c r="G25" s="211"/>
      <c r="H25" s="211"/>
      <c r="I25" s="212"/>
      <c r="J25" s="210"/>
      <c r="K25" s="211"/>
      <c r="L25" s="214">
        <v>50</v>
      </c>
      <c r="M25" s="204"/>
    </row>
    <row r="26" spans="1:13" x14ac:dyDescent="0.2">
      <c r="A26" s="190"/>
      <c r="B26" s="190"/>
      <c r="C26" s="73" t="s">
        <v>289</v>
      </c>
      <c r="D26" s="73" t="s">
        <v>290</v>
      </c>
      <c r="E26" s="61">
        <v>2243</v>
      </c>
      <c r="F26" s="191" t="s">
        <v>171</v>
      </c>
      <c r="G26" s="192">
        <v>2475</v>
      </c>
      <c r="H26" s="192"/>
      <c r="I26" s="193">
        <v>150</v>
      </c>
      <c r="J26" s="194"/>
      <c r="K26" s="192">
        <f>SUM(L27:L32)</f>
        <v>5060</v>
      </c>
      <c r="L26" s="192"/>
    </row>
    <row r="27" spans="1:13" ht="20.399999999999999" x14ac:dyDescent="0.2">
      <c r="A27" s="196"/>
      <c r="B27" s="196"/>
      <c r="C27" s="67" t="s">
        <v>289</v>
      </c>
      <c r="D27" s="67" t="s">
        <v>290</v>
      </c>
      <c r="E27" s="68">
        <v>2243</v>
      </c>
      <c r="F27" s="197" t="s">
        <v>300</v>
      </c>
      <c r="G27" s="215"/>
      <c r="H27" s="215"/>
      <c r="I27" s="216"/>
      <c r="J27" s="200"/>
      <c r="K27" s="215"/>
      <c r="L27" s="215">
        <v>1000</v>
      </c>
      <c r="M27" s="204"/>
    </row>
    <row r="28" spans="1:13" x14ac:dyDescent="0.2">
      <c r="A28" s="196"/>
      <c r="B28" s="196"/>
      <c r="C28" s="67" t="s">
        <v>289</v>
      </c>
      <c r="D28" s="67" t="s">
        <v>290</v>
      </c>
      <c r="E28" s="68">
        <v>2243</v>
      </c>
      <c r="F28" s="94" t="s">
        <v>301</v>
      </c>
      <c r="G28" s="215"/>
      <c r="H28" s="215"/>
      <c r="I28" s="216"/>
      <c r="J28" s="200"/>
      <c r="K28" s="215"/>
      <c r="L28" s="215">
        <v>650</v>
      </c>
      <c r="M28" s="202"/>
    </row>
    <row r="29" spans="1:13" ht="20.399999999999999" x14ac:dyDescent="0.2">
      <c r="A29" s="196"/>
      <c r="B29" s="196"/>
      <c r="C29" s="67" t="s">
        <v>289</v>
      </c>
      <c r="D29" s="67" t="s">
        <v>290</v>
      </c>
      <c r="E29" s="68">
        <v>2243</v>
      </c>
      <c r="F29" s="94" t="s">
        <v>302</v>
      </c>
      <c r="G29" s="215"/>
      <c r="H29" s="215"/>
      <c r="I29" s="216"/>
      <c r="J29" s="200"/>
      <c r="K29" s="215"/>
      <c r="L29" s="215">
        <v>2760</v>
      </c>
      <c r="M29" s="202"/>
    </row>
    <row r="30" spans="1:13" x14ac:dyDescent="0.2">
      <c r="A30" s="196"/>
      <c r="B30" s="196"/>
      <c r="C30" s="67" t="s">
        <v>289</v>
      </c>
      <c r="D30" s="67" t="s">
        <v>290</v>
      </c>
      <c r="E30" s="68">
        <v>2243</v>
      </c>
      <c r="F30" s="94" t="s">
        <v>303</v>
      </c>
      <c r="G30" s="215"/>
      <c r="H30" s="215"/>
      <c r="I30" s="216"/>
      <c r="J30" s="200"/>
      <c r="K30" s="215"/>
      <c r="L30" s="215">
        <v>150</v>
      </c>
      <c r="M30" s="202"/>
    </row>
    <row r="31" spans="1:13" x14ac:dyDescent="0.2">
      <c r="A31" s="196"/>
      <c r="B31" s="196"/>
      <c r="C31" s="67" t="s">
        <v>289</v>
      </c>
      <c r="D31" s="67" t="s">
        <v>290</v>
      </c>
      <c r="E31" s="68">
        <v>2243</v>
      </c>
      <c r="F31" s="94" t="s">
        <v>304</v>
      </c>
      <c r="G31" s="215"/>
      <c r="H31" s="215"/>
      <c r="I31" s="216"/>
      <c r="J31" s="200"/>
      <c r="K31" s="215"/>
      <c r="L31" s="215">
        <v>300</v>
      </c>
      <c r="M31" s="201"/>
    </row>
    <row r="32" spans="1:13" ht="15.6" customHeight="1" x14ac:dyDescent="0.2">
      <c r="A32" s="196"/>
      <c r="B32" s="196"/>
      <c r="C32" s="67" t="s">
        <v>289</v>
      </c>
      <c r="D32" s="67" t="s">
        <v>290</v>
      </c>
      <c r="E32" s="68">
        <v>2243</v>
      </c>
      <c r="F32" s="94" t="s">
        <v>305</v>
      </c>
      <c r="G32" s="215"/>
      <c r="H32" s="215"/>
      <c r="I32" s="215"/>
      <c r="J32" s="200"/>
      <c r="K32" s="215"/>
      <c r="L32" s="215">
        <v>200</v>
      </c>
      <c r="M32" s="217"/>
    </row>
    <row r="33" spans="1:13" x14ac:dyDescent="0.2">
      <c r="A33" s="190"/>
      <c r="B33" s="190"/>
      <c r="C33" s="73" t="s">
        <v>289</v>
      </c>
      <c r="D33" s="73" t="s">
        <v>290</v>
      </c>
      <c r="E33" s="61">
        <v>2244</v>
      </c>
      <c r="F33" s="191" t="s">
        <v>173</v>
      </c>
      <c r="G33" s="192">
        <v>1599</v>
      </c>
      <c r="H33" s="192"/>
      <c r="I33" s="193">
        <v>1598</v>
      </c>
      <c r="J33" s="200"/>
      <c r="K33" s="192">
        <f>SUM(L34:L37)</f>
        <v>2459</v>
      </c>
      <c r="L33" s="192"/>
    </row>
    <row r="34" spans="1:13" x14ac:dyDescent="0.2">
      <c r="A34" s="196"/>
      <c r="B34" s="196"/>
      <c r="C34" s="67" t="s">
        <v>289</v>
      </c>
      <c r="D34" s="67" t="s">
        <v>290</v>
      </c>
      <c r="E34" s="68">
        <v>2244</v>
      </c>
      <c r="F34" s="215" t="s">
        <v>306</v>
      </c>
      <c r="G34" s="215"/>
      <c r="H34" s="215"/>
      <c r="I34" s="216"/>
      <c r="J34" s="200"/>
      <c r="K34" s="215"/>
      <c r="L34" s="215">
        <v>800</v>
      </c>
      <c r="M34" s="204"/>
    </row>
    <row r="35" spans="1:13" x14ac:dyDescent="0.2">
      <c r="A35" s="196"/>
      <c r="B35" s="196"/>
      <c r="C35" s="67" t="s">
        <v>289</v>
      </c>
      <c r="D35" s="67" t="s">
        <v>290</v>
      </c>
      <c r="E35" s="68">
        <v>2244</v>
      </c>
      <c r="F35" s="215" t="s">
        <v>307</v>
      </c>
      <c r="G35" s="215"/>
      <c r="H35" s="215"/>
      <c r="I35" s="216"/>
      <c r="J35" s="200"/>
      <c r="K35" s="215"/>
      <c r="L35" s="215">
        <v>1055</v>
      </c>
      <c r="M35" s="201"/>
    </row>
    <row r="36" spans="1:13" x14ac:dyDescent="0.2">
      <c r="A36" s="196"/>
      <c r="B36" s="196"/>
      <c r="C36" s="67"/>
      <c r="D36" s="67"/>
      <c r="E36" s="68">
        <v>2244</v>
      </c>
      <c r="F36" s="215" t="s">
        <v>308</v>
      </c>
      <c r="G36" s="215"/>
      <c r="H36" s="215"/>
      <c r="I36" s="216"/>
      <c r="J36" s="200"/>
      <c r="K36" s="215"/>
      <c r="L36" s="215">
        <v>484</v>
      </c>
      <c r="M36" s="201"/>
    </row>
    <row r="37" spans="1:13" x14ac:dyDescent="0.2">
      <c r="A37" s="196"/>
      <c r="B37" s="196"/>
      <c r="C37" s="67" t="s">
        <v>289</v>
      </c>
      <c r="D37" s="67" t="s">
        <v>290</v>
      </c>
      <c r="E37" s="68">
        <v>2244</v>
      </c>
      <c r="F37" s="215" t="s">
        <v>309</v>
      </c>
      <c r="G37" s="215"/>
      <c r="H37" s="215"/>
      <c r="I37" s="216"/>
      <c r="J37" s="200"/>
      <c r="K37" s="215"/>
      <c r="L37" s="215">
        <v>120</v>
      </c>
      <c r="M37" s="201"/>
    </row>
    <row r="38" spans="1:13" s="203" customFormat="1" x14ac:dyDescent="0.2">
      <c r="A38" s="213"/>
      <c r="B38" s="213"/>
      <c r="C38" s="73" t="s">
        <v>289</v>
      </c>
      <c r="D38" s="73" t="s">
        <v>290</v>
      </c>
      <c r="E38" s="152">
        <v>2250</v>
      </c>
      <c r="F38" s="218" t="s">
        <v>310</v>
      </c>
      <c r="G38" s="192">
        <v>50</v>
      </c>
      <c r="H38" s="192"/>
      <c r="I38" s="193">
        <v>29</v>
      </c>
      <c r="J38" s="194"/>
      <c r="K38" s="192">
        <f>L39</f>
        <v>88</v>
      </c>
      <c r="L38" s="192"/>
      <c r="M38" s="195"/>
    </row>
    <row r="39" spans="1:13" x14ac:dyDescent="0.2">
      <c r="A39" s="196"/>
      <c r="B39" s="196"/>
      <c r="C39" s="67" t="s">
        <v>289</v>
      </c>
      <c r="D39" s="67" t="s">
        <v>290</v>
      </c>
      <c r="E39" s="68">
        <v>2250</v>
      </c>
      <c r="F39" s="197" t="s">
        <v>311</v>
      </c>
      <c r="G39" s="215"/>
      <c r="H39" s="215"/>
      <c r="I39" s="216"/>
      <c r="J39" s="200"/>
      <c r="K39" s="215"/>
      <c r="L39" s="215">
        <v>88</v>
      </c>
      <c r="M39" s="204"/>
    </row>
    <row r="40" spans="1:13" s="203" customFormat="1" x14ac:dyDescent="0.2">
      <c r="A40" s="213"/>
      <c r="B40" s="213"/>
      <c r="C40" s="73" t="s">
        <v>289</v>
      </c>
      <c r="D40" s="73" t="s">
        <v>290</v>
      </c>
      <c r="E40" s="152">
        <v>2264</v>
      </c>
      <c r="F40" s="218" t="s">
        <v>312</v>
      </c>
      <c r="G40" s="192">
        <v>0</v>
      </c>
      <c r="H40" s="192"/>
      <c r="I40" s="193">
        <v>0</v>
      </c>
      <c r="J40" s="194"/>
      <c r="K40" s="192">
        <f>L42+L41</f>
        <v>1876</v>
      </c>
      <c r="L40" s="192"/>
      <c r="M40" s="195"/>
    </row>
    <row r="41" spans="1:13" x14ac:dyDescent="0.2">
      <c r="A41" s="196"/>
      <c r="B41" s="196"/>
      <c r="C41" s="67" t="s">
        <v>289</v>
      </c>
      <c r="D41" s="67" t="s">
        <v>290</v>
      </c>
      <c r="E41" s="68">
        <v>2244</v>
      </c>
      <c r="F41" s="197" t="s">
        <v>313</v>
      </c>
      <c r="G41" s="215"/>
      <c r="H41" s="215"/>
      <c r="I41" s="216"/>
      <c r="J41" s="200"/>
      <c r="K41" s="215"/>
      <c r="L41" s="215">
        <v>1726</v>
      </c>
      <c r="M41" s="201"/>
    </row>
    <row r="42" spans="1:13" x14ac:dyDescent="0.2">
      <c r="A42" s="196"/>
      <c r="B42" s="196"/>
      <c r="C42" s="67" t="s">
        <v>289</v>
      </c>
      <c r="D42" s="67" t="s">
        <v>290</v>
      </c>
      <c r="E42" s="68">
        <v>2264</v>
      </c>
      <c r="F42" s="197" t="s">
        <v>314</v>
      </c>
      <c r="G42" s="215"/>
      <c r="H42" s="215"/>
      <c r="I42" s="216"/>
      <c r="J42" s="200"/>
      <c r="K42" s="215"/>
      <c r="L42" s="215">
        <v>150</v>
      </c>
      <c r="M42" s="204"/>
    </row>
    <row r="43" spans="1:13" s="203" customFormat="1" x14ac:dyDescent="0.2">
      <c r="A43" s="213"/>
      <c r="B43" s="213"/>
      <c r="C43" s="73" t="s">
        <v>289</v>
      </c>
      <c r="D43" s="73" t="s">
        <v>290</v>
      </c>
      <c r="E43" s="152">
        <v>2311</v>
      </c>
      <c r="F43" s="218" t="s">
        <v>48</v>
      </c>
      <c r="G43" s="192">
        <v>100</v>
      </c>
      <c r="H43" s="192"/>
      <c r="I43" s="193">
        <v>51</v>
      </c>
      <c r="J43" s="194"/>
      <c r="K43" s="192">
        <f>L44</f>
        <v>10</v>
      </c>
      <c r="L43" s="192"/>
      <c r="M43" s="195"/>
    </row>
    <row r="44" spans="1:13" x14ac:dyDescent="0.2">
      <c r="A44" s="196"/>
      <c r="B44" s="196"/>
      <c r="C44" s="67" t="s">
        <v>289</v>
      </c>
      <c r="D44" s="67" t="s">
        <v>290</v>
      </c>
      <c r="E44" s="68">
        <v>2311</v>
      </c>
      <c r="F44" s="197" t="s">
        <v>48</v>
      </c>
      <c r="G44" s="215"/>
      <c r="H44" s="215"/>
      <c r="I44" s="216"/>
      <c r="J44" s="200"/>
      <c r="K44" s="215"/>
      <c r="L44" s="219">
        <v>10</v>
      </c>
      <c r="M44" s="204"/>
    </row>
    <row r="45" spans="1:13" x14ac:dyDescent="0.2">
      <c r="A45" s="190"/>
      <c r="B45" s="190"/>
      <c r="C45" s="73" t="s">
        <v>289</v>
      </c>
      <c r="D45" s="73" t="s">
        <v>290</v>
      </c>
      <c r="E45" s="61">
        <v>2312</v>
      </c>
      <c r="F45" s="191" t="s">
        <v>186</v>
      </c>
      <c r="G45" s="192">
        <v>2650</v>
      </c>
      <c r="H45" s="192"/>
      <c r="I45" s="193">
        <v>2005</v>
      </c>
      <c r="J45" s="194"/>
      <c r="K45" s="192">
        <f>SUM(L46:L47)</f>
        <v>500</v>
      </c>
      <c r="L45" s="192"/>
    </row>
    <row r="46" spans="1:13" x14ac:dyDescent="0.2">
      <c r="A46" s="196"/>
      <c r="B46" s="196"/>
      <c r="C46" s="67" t="s">
        <v>289</v>
      </c>
      <c r="D46" s="67" t="s">
        <v>290</v>
      </c>
      <c r="E46" s="68">
        <v>2312</v>
      </c>
      <c r="F46" s="215" t="s">
        <v>315</v>
      </c>
      <c r="G46" s="215"/>
      <c r="H46" s="215"/>
      <c r="I46" s="216"/>
      <c r="J46" s="200"/>
      <c r="K46" s="215"/>
      <c r="L46" s="215">
        <v>300</v>
      </c>
      <c r="M46" s="204"/>
    </row>
    <row r="47" spans="1:13" x14ac:dyDescent="0.2">
      <c r="A47" s="196"/>
      <c r="B47" s="196"/>
      <c r="C47" s="67" t="s">
        <v>289</v>
      </c>
      <c r="D47" s="67" t="s">
        <v>290</v>
      </c>
      <c r="E47" s="68">
        <v>2312</v>
      </c>
      <c r="F47" s="197" t="s">
        <v>316</v>
      </c>
      <c r="G47" s="215"/>
      <c r="H47" s="215"/>
      <c r="I47" s="216"/>
      <c r="J47" s="200"/>
      <c r="K47" s="215"/>
      <c r="L47" s="215">
        <v>200</v>
      </c>
      <c r="M47" s="204"/>
    </row>
    <row r="48" spans="1:13" x14ac:dyDescent="0.2">
      <c r="A48" s="190"/>
      <c r="B48" s="190"/>
      <c r="C48" s="73" t="s">
        <v>289</v>
      </c>
      <c r="D48" s="73" t="s">
        <v>290</v>
      </c>
      <c r="E48" s="61">
        <v>2321</v>
      </c>
      <c r="F48" s="191" t="s">
        <v>317</v>
      </c>
      <c r="G48" s="192">
        <v>34175</v>
      </c>
      <c r="H48" s="192"/>
      <c r="I48" s="193">
        <v>7697</v>
      </c>
      <c r="J48" s="194"/>
      <c r="K48" s="192">
        <f>L49</f>
        <v>19500</v>
      </c>
      <c r="L48" s="192"/>
    </row>
    <row r="49" spans="1:13" ht="22.5" customHeight="1" x14ac:dyDescent="0.2">
      <c r="A49" s="196"/>
      <c r="B49" s="196"/>
      <c r="C49" s="67" t="s">
        <v>289</v>
      </c>
      <c r="D49" s="67" t="s">
        <v>290</v>
      </c>
      <c r="E49" s="68">
        <v>2321</v>
      </c>
      <c r="F49" s="220" t="s">
        <v>318</v>
      </c>
      <c r="G49" s="215"/>
      <c r="H49" s="215"/>
      <c r="I49" s="216"/>
      <c r="J49" s="200"/>
      <c r="K49" s="215"/>
      <c r="L49" s="215">
        <v>19500</v>
      </c>
      <c r="M49" s="202"/>
    </row>
    <row r="50" spans="1:13" s="203" customFormat="1" x14ac:dyDescent="0.2">
      <c r="A50" s="213"/>
      <c r="B50" s="213"/>
      <c r="C50" s="73" t="s">
        <v>289</v>
      </c>
      <c r="D50" s="73" t="s">
        <v>290</v>
      </c>
      <c r="E50" s="152">
        <v>2322</v>
      </c>
      <c r="F50" s="218" t="s">
        <v>50</v>
      </c>
      <c r="G50" s="192">
        <v>800</v>
      </c>
      <c r="H50" s="192"/>
      <c r="I50" s="193">
        <v>377</v>
      </c>
      <c r="J50" s="194"/>
      <c r="K50" s="192">
        <f>L51</f>
        <v>1000</v>
      </c>
      <c r="L50" s="192"/>
      <c r="M50" s="195"/>
    </row>
    <row r="51" spans="1:13" x14ac:dyDescent="0.2">
      <c r="A51" s="196"/>
      <c r="B51" s="196"/>
      <c r="C51" s="67" t="s">
        <v>289</v>
      </c>
      <c r="D51" s="67" t="s">
        <v>290</v>
      </c>
      <c r="E51" s="68">
        <v>2322</v>
      </c>
      <c r="F51" s="197" t="s">
        <v>50</v>
      </c>
      <c r="G51" s="215"/>
      <c r="H51" s="215"/>
      <c r="I51" s="216"/>
      <c r="J51" s="200"/>
      <c r="K51" s="215"/>
      <c r="L51" s="215">
        <v>1000</v>
      </c>
      <c r="M51" s="204"/>
    </row>
    <row r="52" spans="1:13" s="203" customFormat="1" x14ac:dyDescent="0.2">
      <c r="A52" s="213"/>
      <c r="B52" s="213"/>
      <c r="C52" s="73" t="s">
        <v>289</v>
      </c>
      <c r="D52" s="73" t="s">
        <v>290</v>
      </c>
      <c r="E52" s="152">
        <v>2329</v>
      </c>
      <c r="F52" s="218" t="s">
        <v>319</v>
      </c>
      <c r="G52" s="192">
        <v>1000</v>
      </c>
      <c r="H52" s="192"/>
      <c r="I52" s="193">
        <v>769</v>
      </c>
      <c r="J52" s="194"/>
      <c r="K52" s="192">
        <f>L53</f>
        <v>190</v>
      </c>
      <c r="L52" s="192"/>
      <c r="M52" s="195"/>
    </row>
    <row r="53" spans="1:13" x14ac:dyDescent="0.2">
      <c r="A53" s="196"/>
      <c r="B53" s="196"/>
      <c r="C53" s="67" t="s">
        <v>289</v>
      </c>
      <c r="D53" s="67" t="s">
        <v>290</v>
      </c>
      <c r="E53" s="68">
        <v>2329</v>
      </c>
      <c r="F53" s="197" t="s">
        <v>320</v>
      </c>
      <c r="G53" s="215"/>
      <c r="H53" s="215"/>
      <c r="I53" s="216"/>
      <c r="J53" s="200"/>
      <c r="K53" s="215"/>
      <c r="L53" s="219">
        <v>190</v>
      </c>
      <c r="M53" s="204"/>
    </row>
    <row r="54" spans="1:13" x14ac:dyDescent="0.2">
      <c r="A54" s="190"/>
      <c r="B54" s="190"/>
      <c r="C54" s="73" t="s">
        <v>289</v>
      </c>
      <c r="D54" s="73" t="s">
        <v>290</v>
      </c>
      <c r="E54" s="61">
        <v>2350</v>
      </c>
      <c r="F54" s="191" t="s">
        <v>321</v>
      </c>
      <c r="G54" s="192">
        <v>8360</v>
      </c>
      <c r="H54" s="192"/>
      <c r="I54" s="193">
        <v>8595</v>
      </c>
      <c r="J54" s="194"/>
      <c r="K54" s="192">
        <f>SUM(L55:L61)</f>
        <v>12000</v>
      </c>
      <c r="L54" s="192"/>
    </row>
    <row r="55" spans="1:13" x14ac:dyDescent="0.2">
      <c r="A55" s="196"/>
      <c r="B55" s="196"/>
      <c r="C55" s="67" t="s">
        <v>289</v>
      </c>
      <c r="D55" s="67" t="s">
        <v>290</v>
      </c>
      <c r="E55" s="68">
        <v>2350</v>
      </c>
      <c r="F55" s="197" t="s">
        <v>322</v>
      </c>
      <c r="G55" s="215"/>
      <c r="H55" s="215"/>
      <c r="I55" s="216"/>
      <c r="J55" s="200"/>
      <c r="K55" s="215"/>
      <c r="L55" s="215">
        <v>200</v>
      </c>
      <c r="M55" s="204"/>
    </row>
    <row r="56" spans="1:13" x14ac:dyDescent="0.2">
      <c r="A56" s="196"/>
      <c r="B56" s="196"/>
      <c r="C56" s="67" t="s">
        <v>289</v>
      </c>
      <c r="D56" s="67" t="s">
        <v>290</v>
      </c>
      <c r="E56" s="68">
        <v>2350</v>
      </c>
      <c r="F56" s="197" t="s">
        <v>323</v>
      </c>
      <c r="G56" s="215"/>
      <c r="H56" s="215"/>
      <c r="I56" s="216"/>
      <c r="J56" s="200"/>
      <c r="K56" s="215"/>
      <c r="L56" s="215">
        <v>200</v>
      </c>
      <c r="M56" s="204"/>
    </row>
    <row r="57" spans="1:13" x14ac:dyDescent="0.2">
      <c r="A57" s="196"/>
      <c r="B57" s="196"/>
      <c r="C57" s="67" t="s">
        <v>289</v>
      </c>
      <c r="D57" s="67" t="s">
        <v>290</v>
      </c>
      <c r="E57" s="68">
        <v>2350</v>
      </c>
      <c r="F57" s="197" t="s">
        <v>324</v>
      </c>
      <c r="G57" s="215"/>
      <c r="H57" s="215"/>
      <c r="I57" s="216"/>
      <c r="J57" s="200"/>
      <c r="K57" s="215"/>
      <c r="L57" s="215">
        <v>400</v>
      </c>
      <c r="M57" s="204"/>
    </row>
    <row r="58" spans="1:13" ht="20.399999999999999" x14ac:dyDescent="0.2">
      <c r="A58" s="196"/>
      <c r="B58" s="196"/>
      <c r="C58" s="67" t="s">
        <v>289</v>
      </c>
      <c r="D58" s="67" t="s">
        <v>290</v>
      </c>
      <c r="E58" s="68">
        <v>2350</v>
      </c>
      <c r="F58" s="197" t="s">
        <v>325</v>
      </c>
      <c r="G58" s="215"/>
      <c r="H58" s="215"/>
      <c r="I58" s="216"/>
      <c r="J58" s="200"/>
      <c r="K58" s="215"/>
      <c r="L58" s="215">
        <v>500</v>
      </c>
      <c r="M58" s="204"/>
    </row>
    <row r="59" spans="1:13" x14ac:dyDescent="0.2">
      <c r="A59" s="196"/>
      <c r="B59" s="196"/>
      <c r="C59" s="67" t="s">
        <v>289</v>
      </c>
      <c r="D59" s="67" t="s">
        <v>290</v>
      </c>
      <c r="E59" s="68">
        <v>2350</v>
      </c>
      <c r="F59" s="197" t="s">
        <v>326</v>
      </c>
      <c r="G59" s="215"/>
      <c r="H59" s="215"/>
      <c r="I59" s="216"/>
      <c r="J59" s="200"/>
      <c r="K59" s="215"/>
      <c r="L59" s="215">
        <v>60</v>
      </c>
      <c r="M59" s="204"/>
    </row>
    <row r="60" spans="1:13" x14ac:dyDescent="0.2">
      <c r="A60" s="196"/>
      <c r="B60" s="196"/>
      <c r="C60" s="67" t="s">
        <v>289</v>
      </c>
      <c r="D60" s="67" t="s">
        <v>290</v>
      </c>
      <c r="E60" s="68">
        <v>2350</v>
      </c>
      <c r="F60" s="197" t="s">
        <v>327</v>
      </c>
      <c r="G60" s="215"/>
      <c r="H60" s="215"/>
      <c r="I60" s="216"/>
      <c r="J60" s="200"/>
      <c r="K60" s="215"/>
      <c r="L60" s="215">
        <v>600</v>
      </c>
      <c r="M60" s="204"/>
    </row>
    <row r="61" spans="1:13" ht="20.399999999999999" x14ac:dyDescent="0.2">
      <c r="A61" s="196"/>
      <c r="B61" s="196"/>
      <c r="C61" s="67" t="s">
        <v>289</v>
      </c>
      <c r="D61" s="67" t="s">
        <v>290</v>
      </c>
      <c r="E61" s="68">
        <v>2350</v>
      </c>
      <c r="F61" s="197" t="s">
        <v>328</v>
      </c>
      <c r="G61" s="215"/>
      <c r="H61" s="215"/>
      <c r="I61" s="216"/>
      <c r="J61" s="200"/>
      <c r="K61" s="215"/>
      <c r="L61" s="219">
        <v>10040</v>
      </c>
      <c r="M61" s="204"/>
    </row>
    <row r="62" spans="1:13" s="203" customFormat="1" x14ac:dyDescent="0.2">
      <c r="A62" s="213"/>
      <c r="B62" s="213"/>
      <c r="C62" s="73" t="s">
        <v>289</v>
      </c>
      <c r="D62" s="73" t="s">
        <v>290</v>
      </c>
      <c r="E62" s="152">
        <v>2519</v>
      </c>
      <c r="F62" s="218" t="s">
        <v>329</v>
      </c>
      <c r="G62" s="192">
        <v>365</v>
      </c>
      <c r="H62" s="192"/>
      <c r="I62" s="193">
        <v>363</v>
      </c>
      <c r="J62" s="194"/>
      <c r="K62" s="192">
        <f>L63</f>
        <v>0</v>
      </c>
      <c r="L62" s="192"/>
      <c r="M62" s="195"/>
    </row>
    <row r="63" spans="1:13" x14ac:dyDescent="0.2">
      <c r="A63" s="196"/>
      <c r="B63" s="196"/>
      <c r="C63" s="67" t="s">
        <v>289</v>
      </c>
      <c r="D63" s="67" t="s">
        <v>290</v>
      </c>
      <c r="E63" s="68">
        <v>2519</v>
      </c>
      <c r="F63" s="197" t="s">
        <v>329</v>
      </c>
      <c r="G63" s="215"/>
      <c r="H63" s="215"/>
      <c r="I63" s="216"/>
      <c r="J63" s="200"/>
      <c r="K63" s="215"/>
      <c r="L63" s="215"/>
      <c r="M63" s="204"/>
    </row>
    <row r="64" spans="1:13" s="203" customFormat="1" x14ac:dyDescent="0.2">
      <c r="A64" s="213"/>
      <c r="B64" s="213"/>
      <c r="C64" s="73" t="s">
        <v>289</v>
      </c>
      <c r="D64" s="73" t="s">
        <v>290</v>
      </c>
      <c r="E64" s="152">
        <v>5120</v>
      </c>
      <c r="F64" s="218" t="s">
        <v>330</v>
      </c>
      <c r="G64" s="192">
        <v>260</v>
      </c>
      <c r="H64" s="192"/>
      <c r="I64" s="193">
        <v>254</v>
      </c>
      <c r="J64" s="194"/>
      <c r="K64" s="192">
        <f>L65</f>
        <v>0</v>
      </c>
      <c r="L64" s="192"/>
      <c r="M64" s="195"/>
    </row>
    <row r="65" spans="1:13" x14ac:dyDescent="0.2">
      <c r="A65" s="196"/>
      <c r="B65" s="196"/>
      <c r="C65" s="67" t="s">
        <v>289</v>
      </c>
      <c r="D65" s="67" t="s">
        <v>290</v>
      </c>
      <c r="E65" s="68">
        <v>5120</v>
      </c>
      <c r="F65" s="197" t="s">
        <v>330</v>
      </c>
      <c r="G65" s="215"/>
      <c r="H65" s="215"/>
      <c r="I65" s="216"/>
      <c r="J65" s="200"/>
      <c r="K65" s="215"/>
      <c r="L65" s="215"/>
      <c r="M65" s="204"/>
    </row>
    <row r="66" spans="1:13" s="203" customFormat="1" x14ac:dyDescent="0.2">
      <c r="A66" s="213"/>
      <c r="B66" s="213"/>
      <c r="C66" s="73" t="s">
        <v>289</v>
      </c>
      <c r="D66" s="73" t="s">
        <v>290</v>
      </c>
      <c r="E66" s="152">
        <v>5238</v>
      </c>
      <c r="F66" s="218" t="s">
        <v>270</v>
      </c>
      <c r="G66" s="192">
        <v>1300</v>
      </c>
      <c r="H66" s="192"/>
      <c r="I66" s="193">
        <v>1278</v>
      </c>
      <c r="J66" s="194"/>
      <c r="K66" s="192">
        <f>L67</f>
        <v>0</v>
      </c>
      <c r="L66" s="192"/>
      <c r="M66" s="195"/>
    </row>
    <row r="67" spans="1:13" x14ac:dyDescent="0.2">
      <c r="A67" s="196"/>
      <c r="B67" s="196"/>
      <c r="C67" s="67" t="s">
        <v>289</v>
      </c>
      <c r="D67" s="67" t="s">
        <v>290</v>
      </c>
      <c r="E67" s="68">
        <v>5238</v>
      </c>
      <c r="F67" s="197" t="s">
        <v>270</v>
      </c>
      <c r="G67" s="215"/>
      <c r="H67" s="215"/>
      <c r="I67" s="216"/>
      <c r="J67" s="200"/>
      <c r="K67" s="215"/>
      <c r="L67" s="215"/>
      <c r="M67" s="204"/>
    </row>
    <row r="68" spans="1:13" x14ac:dyDescent="0.2">
      <c r="A68" s="190"/>
      <c r="B68" s="190"/>
      <c r="C68" s="73" t="s">
        <v>289</v>
      </c>
      <c r="D68" s="73" t="s">
        <v>290</v>
      </c>
      <c r="E68" s="61">
        <v>5239</v>
      </c>
      <c r="F68" s="191" t="s">
        <v>273</v>
      </c>
      <c r="G68" s="192">
        <v>1100</v>
      </c>
      <c r="H68" s="192"/>
      <c r="I68" s="193">
        <v>1099</v>
      </c>
      <c r="J68" s="194"/>
      <c r="K68" s="192" t="e">
        <f>#REF!+L69</f>
        <v>#REF!</v>
      </c>
      <c r="L68" s="192"/>
    </row>
    <row r="69" spans="1:13" x14ac:dyDescent="0.2">
      <c r="A69" s="196"/>
      <c r="B69" s="196"/>
      <c r="C69" s="67" t="s">
        <v>289</v>
      </c>
      <c r="D69" s="67" t="s">
        <v>290</v>
      </c>
      <c r="E69" s="68">
        <v>5239</v>
      </c>
      <c r="F69" s="215" t="s">
        <v>331</v>
      </c>
      <c r="G69" s="215"/>
      <c r="H69" s="215"/>
      <c r="I69" s="215"/>
      <c r="J69" s="194"/>
      <c r="K69" s="215"/>
      <c r="L69" s="215">
        <v>600</v>
      </c>
      <c r="M69" s="204"/>
    </row>
    <row r="70" spans="1:13" s="224" customFormat="1" x14ac:dyDescent="0.2">
      <c r="A70" s="221"/>
      <c r="B70" s="221"/>
      <c r="C70" s="221"/>
      <c r="D70" s="222"/>
      <c r="E70" s="221"/>
      <c r="F70" s="221" t="s">
        <v>332</v>
      </c>
      <c r="G70" s="223">
        <f>SUM(G2:G69)</f>
        <v>147218</v>
      </c>
      <c r="H70" s="223">
        <f>SUM(H2:H69)</f>
        <v>0</v>
      </c>
      <c r="I70" s="223">
        <f>SUM(I2:I69)</f>
        <v>71523</v>
      </c>
      <c r="J70" s="223"/>
      <c r="K70" s="223" t="e">
        <f>SUM(K2:K69)</f>
        <v>#REF!</v>
      </c>
      <c r="L70" s="223">
        <f>SUM(L2:L69)</f>
        <v>125779.32</v>
      </c>
    </row>
    <row r="71" spans="1:13" x14ac:dyDescent="0.2">
      <c r="L71" s="225"/>
    </row>
    <row r="72" spans="1:13" x14ac:dyDescent="0.2">
      <c r="K72" s="226" t="e">
        <f>K70-G70</f>
        <v>#REF!</v>
      </c>
      <c r="L72" s="189" t="s">
        <v>333</v>
      </c>
    </row>
    <row r="74" spans="1:13" x14ac:dyDescent="0.2">
      <c r="K74" s="227" t="e">
        <f>K70</f>
        <v>#REF!</v>
      </c>
      <c r="L74" s="189"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Logopēda kabinets</vt:lpstr>
      <vt:lpstr>Mūzikas zāle</vt:lpstr>
      <vt:lpstr>Sporta zāle</vt:lpstr>
      <vt:lpstr>Ligzda</vt:lpstr>
      <vt:lpstr>Tame_SPII_2022</vt:lpstr>
      <vt:lpstr>Komunalserviss</vt:lpstr>
      <vt:lpstr>Ligzda!Print_Area</vt:lpstr>
      <vt:lpstr>'Logopēda kabinets'!Print_Area</vt:lpstr>
      <vt:lpstr>'Mūzikas zāle'!Print_Area</vt:lpstr>
      <vt:lpstr>'Sporta zāle'!Print_Area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Antra Krasta</cp:lastModifiedBy>
  <cp:lastPrinted>2015-09-04T06:41:26Z</cp:lastPrinted>
  <dcterms:created xsi:type="dcterms:W3CDTF">2015-07-31T06:14:45Z</dcterms:created>
  <dcterms:modified xsi:type="dcterms:W3CDTF">2022-02-11T11:42:49Z</dcterms:modified>
</cp:coreProperties>
</file>