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Ina Melkina\Documents\LEMUMPROJEKTI\2022\Gala\"/>
    </mc:Choice>
  </mc:AlternateContent>
  <xr:revisionPtr revIDLastSave="0" documentId="13_ncr:1_{B9F9787B-D854-4A76-9171-1119F8CA805D}" xr6:coauthVersionLast="36" xr6:coauthVersionMax="36" xr10:uidLastSave="{00000000-0000-0000-0000-000000000000}"/>
  <bookViews>
    <workbookView xWindow="0" yWindow="0" windowWidth="28800" windowHeight="12432" tabRatio="883" activeTab="5" xr2:uid="{00000000-000D-0000-FFFF-FFFF00000000}"/>
  </bookViews>
  <sheets>
    <sheet name="Aktu zāle" sheetId="10" r:id="rId1"/>
    <sheet name="Sporta_zale" sheetId="11" r:id="rId2"/>
    <sheet name="Baseins" sheetId="12" r:id="rId3"/>
    <sheet name="Netiešās izmaksas" sheetId="3" r:id="rId4"/>
    <sheet name="Tāme baseins 2022 plans" sheetId="9" r:id="rId5"/>
    <sheet name="Kopsavilkums" sheetId="5" r:id="rId6"/>
    <sheet name="Baseina apmeklējums" sheetId="1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5" l="1"/>
  <c r="C29" i="9" l="1"/>
  <c r="E33" i="9"/>
  <c r="E32" i="9"/>
  <c r="E31" i="9" l="1"/>
  <c r="C13" i="9"/>
  <c r="B16" i="13" l="1"/>
  <c r="K12" i="13"/>
  <c r="H12" i="13"/>
  <c r="E12" i="13"/>
  <c r="B12" i="13"/>
  <c r="H11" i="13"/>
  <c r="K11" i="13"/>
  <c r="E11" i="13"/>
  <c r="B11" i="13"/>
  <c r="F21" i="3" l="1"/>
  <c r="C23" i="9" s="1"/>
  <c r="B14" i="3"/>
  <c r="B10" i="3"/>
  <c r="F6" i="3"/>
  <c r="B26" i="3"/>
  <c r="B25" i="3"/>
  <c r="J5" i="3"/>
  <c r="D104" i="12"/>
  <c r="C34" i="12" s="1"/>
  <c r="D98" i="12"/>
  <c r="D93" i="12"/>
  <c r="D100" i="12" s="1"/>
  <c r="C60" i="12" s="1"/>
  <c r="D90" i="12"/>
  <c r="D87" i="12"/>
  <c r="D82" i="12"/>
  <c r="D78" i="12"/>
  <c r="D76" i="12"/>
  <c r="D75" i="12"/>
  <c r="C64" i="12"/>
  <c r="C42" i="12"/>
  <c r="C40" i="12"/>
  <c r="B8" i="12"/>
  <c r="D104" i="11"/>
  <c r="D98" i="11"/>
  <c r="D93" i="11"/>
  <c r="D100" i="11" s="1"/>
  <c r="C60" i="11" s="1"/>
  <c r="D90" i="11"/>
  <c r="C40" i="11" s="1"/>
  <c r="D87" i="11"/>
  <c r="D82" i="11"/>
  <c r="D78" i="11"/>
  <c r="D76" i="11"/>
  <c r="D75" i="11"/>
  <c r="D84" i="11" s="1"/>
  <c r="C64" i="11"/>
  <c r="C42" i="11"/>
  <c r="C34" i="11"/>
  <c r="B8" i="11"/>
  <c r="D84" i="12" l="1"/>
  <c r="C23" i="12" s="1"/>
  <c r="B14" i="12" s="1"/>
  <c r="F10" i="3"/>
  <c r="C23" i="11"/>
  <c r="B14" i="11" s="1"/>
  <c r="C62" i="12"/>
  <c r="B54" i="12" s="1"/>
  <c r="C10" i="12" s="1"/>
  <c r="C62" i="11"/>
  <c r="B54" i="11" s="1"/>
  <c r="C10" i="11" s="1"/>
  <c r="C3" i="11" l="1"/>
  <c r="J3" i="11" s="1"/>
  <c r="L3" i="11" s="1"/>
  <c r="M3" i="11" s="1"/>
  <c r="N3" i="11" s="1"/>
  <c r="C3" i="12"/>
  <c r="J3" i="12" s="1"/>
  <c r="J4" i="11" l="1"/>
  <c r="L4" i="11" s="1"/>
  <c r="M4" i="11" s="1"/>
  <c r="N4" i="11" s="1"/>
  <c r="L3" i="12"/>
  <c r="M3" i="12" s="1"/>
  <c r="N3" i="12" s="1"/>
  <c r="J4" i="12"/>
  <c r="L4" i="12" s="1"/>
  <c r="M4" i="12" s="1"/>
  <c r="N4" i="12" s="1"/>
  <c r="C62" i="10" l="1"/>
  <c r="D82" i="10"/>
  <c r="D93" i="10"/>
  <c r="D98" i="10"/>
  <c r="D78" i="10"/>
  <c r="D76" i="10"/>
  <c r="D75" i="10"/>
  <c r="D84" i="10" s="1"/>
  <c r="E34" i="9" l="1"/>
  <c r="C35" i="9" l="1"/>
  <c r="D104" i="10"/>
  <c r="C34" i="10" s="1"/>
  <c r="D90" i="10"/>
  <c r="C40" i="10" s="1"/>
  <c r="D87" i="10"/>
  <c r="C64" i="10"/>
  <c r="C42" i="10"/>
  <c r="B8" i="10"/>
  <c r="C23" i="10" l="1"/>
  <c r="B14" i="10"/>
  <c r="D100" i="10"/>
  <c r="C60" i="10" s="1"/>
  <c r="B54" i="10" s="1"/>
  <c r="C10" i="10" s="1"/>
  <c r="C3" i="10" l="1"/>
  <c r="J3" i="10" l="1"/>
  <c r="L3" i="10" s="1"/>
  <c r="M3" i="10" s="1"/>
  <c r="N3" i="10" s="1"/>
  <c r="D15" i="5"/>
  <c r="D16" i="5"/>
  <c r="C12" i="9"/>
  <c r="C8" i="9"/>
  <c r="C3" i="9"/>
  <c r="J4" i="10" l="1"/>
  <c r="L4" i="10" s="1"/>
  <c r="M4" i="10" s="1"/>
  <c r="N4" i="10" s="1"/>
  <c r="C14" i="9"/>
  <c r="C7" i="9"/>
  <c r="C11" i="9" l="1"/>
  <c r="C8" i="5" s="1"/>
  <c r="F8" i="3"/>
  <c r="F23" i="3"/>
  <c r="C25" i="9" s="1"/>
  <c r="F22" i="3"/>
  <c r="C24" i="9" s="1"/>
  <c r="F20" i="3"/>
  <c r="F19" i="3"/>
  <c r="C22" i="9" s="1"/>
  <c r="F18" i="3"/>
  <c r="C20" i="9" s="1"/>
  <c r="F17" i="3"/>
  <c r="F15" i="3"/>
  <c r="F14" i="3"/>
  <c r="F13" i="3"/>
  <c r="F11" i="3"/>
  <c r="F7" i="3"/>
  <c r="F5" i="3"/>
  <c r="C16" i="9" s="1"/>
  <c r="F3" i="3"/>
  <c r="C21" i="9" l="1"/>
  <c r="B24" i="3"/>
  <c r="F12" i="3"/>
  <c r="C18" i="9" s="1"/>
  <c r="F16" i="3"/>
  <c r="C19" i="9" s="1"/>
  <c r="F4" i="3"/>
  <c r="F9" i="3"/>
  <c r="C17" i="9" s="1"/>
  <c r="C15" i="9" l="1"/>
  <c r="C26" i="9" s="1"/>
  <c r="F24" i="3"/>
  <c r="C27" i="9" l="1"/>
  <c r="C28" i="9" s="1"/>
  <c r="C9" i="5"/>
  <c r="C10" i="5" s="1"/>
  <c r="C18" i="5" s="1"/>
  <c r="C36" i="9" l="1"/>
  <c r="C12" i="5"/>
  <c r="D14" i="5" s="1"/>
</calcChain>
</file>

<file path=xl/sharedStrings.xml><?xml version="1.0" encoding="utf-8"?>
<sst xmlns="http://schemas.openxmlformats.org/spreadsheetml/2006/main" count="398" uniqueCount="192">
  <si>
    <t>Nomas maksas noteikšanas metodika, ja nekustamo īpašumu iznomā publiskai personai, tās iestādei vai kapitālsabiedrībai publiskas funkcijas veikšanai</t>
  </si>
  <si>
    <t>Mēnesī</t>
  </si>
  <si>
    <t>Dienā</t>
  </si>
  <si>
    <t>Stundā</t>
  </si>
  <si>
    <t>NM =</t>
  </si>
  <si>
    <t>((Tizm/NĪpl + Nizm) x IZNpl)+Zn (ja zeme pieder iznomātājam)</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</si>
  <si>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</si>
  <si>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</si>
  <si>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</si>
  <si>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</si>
  <si>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</si>
  <si>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</si>
  <si>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</si>
  <si>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</si>
  <si>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</si>
  <si>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</si>
  <si>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 xml:space="preserve">Zn  </t>
  </si>
  <si>
    <t>Ja zeme pieder iznomātājam (Zemes kadastrālā vērtība*1,5%)/proporciju, bet ne mazāk kā 28 EUR/gadā)/12</t>
  </si>
  <si>
    <t>Tizm</t>
  </si>
  <si>
    <t>tā nekustamā īpašuma tiešās izmaksas gadā, kurā atrodas nomas objekts. Aprēķina saskaņā</t>
  </si>
  <si>
    <t>57. Tā nekustamā īpašuma tiešās izmaksas gadā, kurā atrodas iznomājamais objekts, aprēķina, izmantojot šādu formulu:</t>
  </si>
  <si>
    <t>Tizm = A + P + N + Zn + C + K/IznP, kur</t>
  </si>
  <si>
    <t>Tizm – attiecīgā nekustamā īpašuma tiešās izmaksas gadā;</t>
  </si>
  <si>
    <t>A</t>
  </si>
  <si>
    <t xml:space="preserve">attiecīgā nekustamā īpašuma apsaimniekošanas pamata pakalpojumu (iekārtu, tai skaitā liftu, un inženiertīklu tehniskā apkope un remonts, </t>
  </si>
  <si>
    <t xml:space="preserve">ugunsdrošības sistēmu un inventāra uzturēšana un remonts, tehniskās apsardzes signalizācijas un videonovērošanas sistēmu apkalpošana un </t>
  </si>
  <si>
    <t xml:space="preserve">remonts, būves konstruktīvo elementu apsekošana un remonts, teritorijas uzkopšana) un apsaimniekošanas papildu pakalpojumu (fiziskā </t>
  </si>
  <si>
    <t xml:space="preserve">apsardze, telpu uzkopšana, piekļuves kontroles sistēmu apkalpošana, automātiski paceļamo barjeru un vārtu apkalpošana un remonts, iekštelpu </t>
  </si>
  <si>
    <t xml:space="preserve">kosmētiskais remonts, komunālo pakalpojumu līgumu administrēšana un citi pakalpojumi) plānotās izmaksas, plānotās materiālu un ātri </t>
  </si>
  <si>
    <t xml:space="preserve">nolietojamā inventāra izmaksas gadā, kas rodas nekustamā īpašuma iznomātājam attiecīgā nekustamā īpašuma apsaimniekošanā, kā arī citas </t>
  </si>
  <si>
    <t xml:space="preserve">ar tieši iesaistītā personāla plānoto atlīdzību (ņemot vērā iesaistīto darbinieku skaitu un viņu darba laiku iznomājamā objektā gadā) saistītās </t>
  </si>
  <si>
    <t xml:space="preserve">izmaksas. Apsaimniekošanas pamata pakalpojumus nodrošina vai organizē iznomātājs. Pašvaldības var noteikt, ka apsaimniekošanas pamata </t>
  </si>
  <si>
    <t>pakalpojumus nodrošina vai organizē nomnieks. Nomniekam, kas ir operatīvās darbības subjekts, apsaimniekošanas pamata pakalpojumus ir</t>
  </si>
  <si>
    <t xml:space="preserve">tiesības nodrošināt un organizēt pašam. Apsaimniekošanas papildu pakalpojumus nomniekam ir tiesības nodrošināt un organizēt pašam. </t>
  </si>
  <si>
    <t>Ja attiecīgos apsaimniekošanas pakalpojumus nodrošina un organizē pats nomnieks, konkrēto pakalpojumu izmaksas netiek iekļautas;</t>
  </si>
  <si>
    <t>P</t>
  </si>
  <si>
    <t>to pamatlīdzekļu plānotās uzturēšanas izmaksas, tai skaitā nolietojuma summa gadā, kurus izmanto vai plānots izmantot</t>
  </si>
  <si>
    <t>nekustamā īpašuma un tam piegulošās teritorijas sanitārajā uzkopšanā;</t>
  </si>
  <si>
    <t>N</t>
  </si>
  <si>
    <t xml:space="preserve">izdevumi plānotajiem remontdarbiem un būvdarbiem, kas nepieciešami nekustamā īpašuma uzturēšanai un nav iekļauti A komponentē. </t>
  </si>
  <si>
    <t xml:space="preserve">Minētos izdevumus var noteikt, sastādot nepieciešamo uzturēšanas izmaksu plānu ēkas dzīves ciklā, ņemot vērā ēkas un neatdalāmo tehnisko </t>
  </si>
  <si>
    <t xml:space="preserve">iekārtu faktisko tehnisko stāvokli vai arī atbilstoši iznomātāja noteiktajai izdevumu aprēķināšanas kārtībai. Tie nedrīkst pārsniegt 2,5 procentus </t>
  </si>
  <si>
    <t>no attiecīgā nekustamā īpašuma ēkas atjaunošanas vērtības gadā;</t>
  </si>
  <si>
    <t>Zn</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</si>
  <si>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</si>
  <si>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</si>
  <si>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</si>
  <si>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</si>
  <si>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t>
  </si>
  <si>
    <t xml:space="preserve"> līdzekļu atmaksa un aizņemtā kapitāla izmaksas (bankas komisija par aizdevumu, resursu rezervācijas izmaksas, bankas aizdevuma procentu </t>
  </si>
  <si>
    <t xml:space="preserve">maksājumi, procentu likmju izmaiņu riska ierobežošanas izmaksas un citas ar aizdevuma atmaksu saistītas izmaksas), tiešās administrācijas </t>
  </si>
  <si>
    <t xml:space="preserve">izmaksas, kas radušās būvniecības, pirmsprojekta izpētes un projektēšanas laikā, ņemot vērā iznomātāja iesaistīto darbinieku skaitu un viņu </t>
  </si>
  <si>
    <t xml:space="preserve">darba laiku attiecīgā nekustamā īpašuma būvniecības, pirmsprojekta izpētes un projektēšanas procesā). Komponenti nepiemēro, ja ieguldījumi </t>
  </si>
  <si>
    <t xml:space="preserve">nomas objektā, ko iznomā publiskai personai vai tās iestādei, kapitālsabiedrībai vai privātpersonai publiskas funkcijas vai deleģēta valsts </t>
  </si>
  <si>
    <t xml:space="preserve">pārvaldes uzdevuma veikšanai, tiek finansēti no publiskas personas finanšu līdzekļiem, Eiropas Savienības struktūrfondu vai Kohēzijas fonda </t>
  </si>
  <si>
    <t>līdzekļiem vai citiem ārvalsts finanšu instrumentiem;</t>
  </si>
  <si>
    <t>IznP</t>
  </si>
  <si>
    <t xml:space="preserve">aizņemtā kapitāla (kredīta saistību) atmaksas ilgums, ja puses nav vienojušās par citu atmaksas ilgumu, vai pašu ieguldīto līdzekļu atmaksas </t>
  </si>
  <si>
    <t>ilgums, kas noteikts, ņemot vērā ēkas 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</si>
  <si>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</si>
  <si>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</si>
  <si>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</si>
  <si>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</si>
  <si>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</si>
  <si>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</si>
  <si>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</si>
  <si>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</si>
  <si>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</si>
  <si>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EKK</t>
  </si>
  <si>
    <t>Iekārtu, inventāra uzturēšana un remonts</t>
  </si>
  <si>
    <t>Ēku, būvju un telpu uzturēšana, EPS</t>
  </si>
  <si>
    <t>Elektoenerģija, apkuress izmaksas</t>
  </si>
  <si>
    <t>Zāles, ķimikālijas, laboratorijas preces</t>
  </si>
  <si>
    <t>Kārtējā remonta un iestāžu un uzturēšanas materiāl</t>
  </si>
  <si>
    <t>Aiziet uz 21.rindu</t>
  </si>
  <si>
    <t>Aiziet uz 23.rindu</t>
  </si>
  <si>
    <t>Iestādes vadītāja</t>
  </si>
  <si>
    <t>Internets</t>
  </si>
  <si>
    <t>Darbinieku veselības pārbaude</t>
  </si>
  <si>
    <t>Biroja preces</t>
  </si>
  <si>
    <t>Inventārs</t>
  </si>
  <si>
    <t>Degviela</t>
  </si>
  <si>
    <t>Aiziet uz 58.rindu</t>
  </si>
  <si>
    <t>Amortizācija/gadā</t>
  </si>
  <si>
    <t>%</t>
  </si>
  <si>
    <t>Aiziet uz 40.rindu</t>
  </si>
  <si>
    <t xml:space="preserve">      2222</t>
  </si>
  <si>
    <t xml:space="preserve">      2223</t>
  </si>
  <si>
    <t xml:space="preserve">    Īre un noma</t>
  </si>
  <si>
    <t xml:space="preserve">    Zemes noma</t>
  </si>
  <si>
    <t xml:space="preserve">    Kārtējā remonta un iestāžu uzturēšanas materiāli</t>
  </si>
  <si>
    <t>Netiešās izmaksas:</t>
  </si>
  <si>
    <t>Attiecināmie%</t>
  </si>
  <si>
    <t>Kopējā platība</t>
  </si>
  <si>
    <t>Iestādes vadītāja (10%)</t>
  </si>
  <si>
    <t>Baseina platība</t>
  </si>
  <si>
    <t>Soc. Nod.</t>
  </si>
  <si>
    <t>Remonti</t>
  </si>
  <si>
    <t>Izdevumu klasifikācijas kods</t>
  </si>
  <si>
    <t>Rādītājs</t>
  </si>
  <si>
    <t>Izmaksu apjoms noteiktā laikposmā viena maksas pakalpojuma veida nodrošināšanai, EUR</t>
  </si>
  <si>
    <t>Tiešās izmaksas (T izm)</t>
  </si>
  <si>
    <t>Atalgojums no pašvaldības budžeta līdzekļiem</t>
  </si>
  <si>
    <t>Darba devēja soc.apdrošināšanas iemaksas</t>
  </si>
  <si>
    <t>Pakalpojumi, t.sk.:</t>
  </si>
  <si>
    <t>Materiāli</t>
  </si>
  <si>
    <t xml:space="preserve">Biroja preces un inventārs </t>
  </si>
  <si>
    <t>Tiešās izmaksas kopā</t>
  </si>
  <si>
    <t>Iestādes vadītājs (10%)</t>
  </si>
  <si>
    <t>Pasta, telefona un citi sakaru pakalpojumi</t>
  </si>
  <si>
    <t>Izdevumi par komunālajiem pakalpojumiem</t>
  </si>
  <si>
    <t>Iestādes administratīvie izdevumi un ar iestādes darbības nodrošināšanu saistītie izdevumi</t>
  </si>
  <si>
    <t>Remonta darbi un iestāžu uzturēšanas pakalpojumi</t>
  </si>
  <si>
    <t>Kurināmais un enerģētiskie materiāli</t>
  </si>
  <si>
    <t>Zāles, ķimikālijas labor. preces un to uzturēšana (t.sk.dezinfekcijas līdz.)</t>
  </si>
  <si>
    <t>Kopā tiešās un netiešās izmaksas</t>
  </si>
  <si>
    <t>Pakalpojuma izcenojums</t>
  </si>
  <si>
    <t>Prognozētais maksimālais maksas apmeklējumu skaits (gadā):</t>
  </si>
  <si>
    <t>Kopējās  izmaksas 1 apmeklējumam (gadā), t.sk.:</t>
  </si>
  <si>
    <t>Prognozētie ieņēmumi gadā (euro)</t>
  </si>
  <si>
    <t>Peļņa/(zaudējumi)</t>
  </si>
  <si>
    <t xml:space="preserve">Ādažu novada domes </t>
  </si>
  <si>
    <t>Izglītības, kultūras un sporta komitejai</t>
  </si>
  <si>
    <t>iesniegums.</t>
  </si>
  <si>
    <t>Pamatojoties uz Ādažu novada domes 2014.gada 23.septembra noteikumiem Nr.9  "Maksas pakalpojumu izcenojumu noteikšanas metodika un izcenojuma apstiprināšanas kārtība", lūdzu atļaut izskatīt Izglītības komitejā jaunas pakalpojumu cenas, saskaņā ar pievienoto aprēķinu.</t>
  </si>
  <si>
    <t>Baseina pakalpojums</t>
  </si>
  <si>
    <t>Ar PVN</t>
  </si>
  <si>
    <t>Pakalpojuma tiešās izmaksas gadā:</t>
  </si>
  <si>
    <t>Pakalpojuma netiešās izmaksas gadā:</t>
  </si>
  <si>
    <t>Pakalpojuma izmaksas kopā gadā:</t>
  </si>
  <si>
    <t>Plānoto apmeklējumu skaits</t>
  </si>
  <si>
    <t>Vienas vienības izcenojums (bez PVN)</t>
  </si>
  <si>
    <t>Ņemam 10% no remontu un rekonstrukcijas izmaksām, jo ēkai amortizācija 10 gadi</t>
  </si>
  <si>
    <t>2022.gada plāns</t>
  </si>
  <si>
    <t>Telefons, internets</t>
  </si>
  <si>
    <t>Izdevumi par ūdeni un kanalizāciju</t>
  </si>
  <si>
    <t>Izdevumi par elektroenerģiju</t>
  </si>
  <si>
    <t>Izdevumi par atkritumu savākšanu, izvešanu</t>
  </si>
  <si>
    <t xml:space="preserve">Peldbaseinu ūdens apstrādes līdzekļi dozācijas iekārtai </t>
  </si>
  <si>
    <t xml:space="preserve">      2322</t>
  </si>
  <si>
    <t xml:space="preserve">    Telpu un iekārtu remontdarbi un uzturēšana</t>
  </si>
  <si>
    <t>Baseina sporta skolotājs</t>
  </si>
  <si>
    <t>Baseina pedagoga palīgs</t>
  </si>
  <si>
    <t>Baseina apmeklējums. 2018/2019.m.g.</t>
  </si>
  <si>
    <t>maijs līdz 13.05</t>
  </si>
  <si>
    <t>Kopā mācību gadā</t>
  </si>
  <si>
    <t>Septembris</t>
  </si>
  <si>
    <t>oktobris</t>
  </si>
  <si>
    <t>novembris</t>
  </si>
  <si>
    <t>decembris</t>
  </si>
  <si>
    <t>februāris</t>
  </si>
  <si>
    <t>marts</t>
  </si>
  <si>
    <t>aprīlis</t>
  </si>
  <si>
    <t>Septembris 367</t>
  </si>
  <si>
    <t>oktobris 802</t>
  </si>
  <si>
    <t>novembris 694</t>
  </si>
  <si>
    <t>decembris 370</t>
  </si>
  <si>
    <t>janvāris 793</t>
  </si>
  <si>
    <t>februāris 714</t>
  </si>
  <si>
    <t>marts 332 un sākas covid19</t>
  </si>
  <si>
    <t>Baseina apmeklējums 2019/2020.m.g.</t>
  </si>
  <si>
    <t>8 mācību mēneši</t>
  </si>
  <si>
    <t>Oktobris 332</t>
  </si>
  <si>
    <t>Baseina apmeklējums 2021/2022.m.g.</t>
  </si>
  <si>
    <t>Septembris 442</t>
  </si>
  <si>
    <t>oktobris 587</t>
  </si>
  <si>
    <t>novembris 782</t>
  </si>
  <si>
    <t>decembris 678</t>
  </si>
  <si>
    <t>janvāris 700</t>
  </si>
  <si>
    <t>Baseina apmeklējums 2020/2021m.g.</t>
  </si>
  <si>
    <t>novembris /covid 19 .</t>
  </si>
  <si>
    <t>Vidēji apmeklējumi mēnesī</t>
  </si>
  <si>
    <t>7 meneši</t>
  </si>
  <si>
    <t>Vidēji gadā</t>
  </si>
  <si>
    <r>
      <rPr>
        <b/>
        <sz val="10"/>
        <color rgb="FFFF0000"/>
        <rFont val="Verdana"/>
        <family val="2"/>
        <charset val="186"/>
      </rPr>
      <t>Nomas maksas</t>
    </r>
    <r>
      <rPr>
        <b/>
        <sz val="10"/>
        <color indexed="8"/>
        <rFont val="Verdana"/>
        <family val="2"/>
        <charset val="186"/>
      </rPr>
      <t xml:space="preserve"> noteikšanas metodika, ja nekustamo īpašumu iznomā publiskai personai, tās iestādei vai kapitālsabiedrībai publiskas funkcijas veikšanai</t>
    </r>
  </si>
  <si>
    <t>Medmāsa, baseina auklīte, baseina skolotāja</t>
  </si>
  <si>
    <t>Netiešās izmaksas (Nizm ) (3%(21 kvm) izdevumi no CPII izmaksām)</t>
  </si>
  <si>
    <r>
      <t xml:space="preserve">Baseina nodarbība bērnudārza audzēkņiem (5029 apmeklējumi gadā) </t>
    </r>
    <r>
      <rPr>
        <i/>
        <sz val="12"/>
        <color rgb="FFFF0000"/>
        <rFont val="Times New Roman"/>
        <family val="1"/>
        <charset val="186"/>
      </rPr>
      <t>/netiek aplikts ar PVN/</t>
    </r>
  </si>
  <si>
    <t>Sanita Kronberga</t>
  </si>
  <si>
    <t>** Līdz šim nav bijusi prake īrēt pakalpojumu ārpus PII darba laika, tādēļ apmeklējums ir aptuvens</t>
  </si>
  <si>
    <r>
      <rPr>
        <i/>
        <sz val="11"/>
        <rFont val="Times New Roman"/>
        <family val="1"/>
        <charset val="186"/>
      </rPr>
      <t>**</t>
    </r>
    <r>
      <rPr>
        <i/>
        <sz val="12"/>
        <rFont val="Times New Roman"/>
        <family val="1"/>
        <charset val="186"/>
      </rPr>
      <t>Baseina apmeklējums ārpus nodarbībām pieaugušajam (100 apmeklējumi gadā) /bez PVN/</t>
    </r>
  </si>
  <si>
    <r>
      <rPr>
        <i/>
        <sz val="11"/>
        <rFont val="Times New Roman"/>
        <family val="1"/>
        <charset val="186"/>
      </rPr>
      <t>**</t>
    </r>
    <r>
      <rPr>
        <i/>
        <sz val="12"/>
        <rFont val="Times New Roman"/>
        <family val="1"/>
        <charset val="186"/>
      </rPr>
      <t>Baseina apmeklējums ārpus nodarbībām bērnam (100 apmeklējumi gadā) /bez PVN/</t>
    </r>
  </si>
  <si>
    <r>
      <rPr>
        <i/>
        <sz val="11"/>
        <rFont val="Times New Roman"/>
        <family val="1"/>
        <charset val="186"/>
      </rPr>
      <t>**</t>
    </r>
    <r>
      <rPr>
        <i/>
        <sz val="12"/>
        <rFont val="Times New Roman"/>
        <family val="1"/>
        <charset val="186"/>
      </rPr>
      <t>Baseina apmeklējums ģimenei ārpus nodarbībām (1 pieaugušais + 2 bērni, 100 apmeklējumi gadā) /bez PVN/</t>
    </r>
  </si>
  <si>
    <t>*Vienas nodarbības ilgums 40 minūtes audzēkņiem</t>
  </si>
  <si>
    <t>Cena vienam CPII audzēknim, nodarbības ilgums 40 minūtes (bez PVN)</t>
  </si>
  <si>
    <t>Cena vienam pieaugušajam, 60 minūtes bez PVN</t>
  </si>
  <si>
    <t>Cena vienam bērnam, arpus nodarbībām, 60 minūtes bez PVN</t>
  </si>
  <si>
    <t>Cena ģimenei ārpus nodarbībām (1 pieaugušais + 2 bērni), 60 minūtes, bez PVN</t>
  </si>
  <si>
    <t xml:space="preserve">Carnikavas pirmsskolas izglītības iestādes "Riekstiņš" vadītāja </t>
  </si>
  <si>
    <t>2022.gada 23.februārī</t>
  </si>
  <si>
    <t>Plānotie ieņēmumi</t>
  </si>
  <si>
    <t xml:space="preserve">Peļņa/zudējumi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</si>
</sst>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 #,##0.00_-;_-* &quot;-&quot;??_-;_-@_-"/>
    <numFmt numFmtId="165" formatCode="_-* #,##0_-;\-* #,##0_-;_-* &quot;-&quot;??_-;_-@_-"/>
  </numFmts>
  <fonts count="38" x14ac:knownFonts="1">
    <font>
      <sz val="11"/>
      <color indexed="8"/>
      <name val="Calibri"/>
      <family val="2"/>
      <charset val="186"/>
    </font>
    <font>
      <sz val="11"/>
      <color indexed="8"/>
      <name val="Calibri"/>
      <family val="2"/>
      <charset val="186"/>
    </font>
    <font>
      <b/>
      <sz val="10"/>
      <color indexed="8"/>
      <name val="Verdana"/>
      <family val="2"/>
      <charset val="186"/>
    </font>
    <font>
      <b/>
      <sz val="11"/>
      <color indexed="8"/>
      <name val="Calibri"/>
      <family val="2"/>
      <charset val="186"/>
    </font>
    <font>
      <b/>
      <sz val="11"/>
      <color theme="3"/>
      <name val="Calibri"/>
      <family val="2"/>
      <charset val="186"/>
    </font>
    <font>
      <sz val="11"/>
      <color theme="3"/>
      <name val="Calibri"/>
      <family val="2"/>
      <charset val="186"/>
    </font>
    <font>
      <sz val="9"/>
      <color indexed="8"/>
      <name val="Verdana"/>
      <family val="2"/>
      <charset val="186"/>
    </font>
    <font>
      <sz val="11"/>
      <name val="Calibri"/>
      <family val="2"/>
      <charset val="186"/>
    </font>
    <font>
      <sz val="20"/>
      <color indexed="8"/>
      <name val="Calibri"/>
      <family val="2"/>
      <charset val="186"/>
    </font>
    <font>
      <sz val="11"/>
      <color indexed="8"/>
      <name val="Calibri"/>
      <family val="2"/>
      <charset val="186"/>
      <scheme val="minor"/>
    </font>
    <font>
      <sz val="10"/>
      <color indexed="8"/>
      <name val="Calibri"/>
      <family val="2"/>
      <charset val="186"/>
    </font>
    <font>
      <sz val="11"/>
      <color rgb="FFFF0000"/>
      <name val="Calibri"/>
      <family val="2"/>
      <charset val="186"/>
    </font>
    <font>
      <sz val="10"/>
      <name val="Arial"/>
      <family val="2"/>
      <charset val="186"/>
    </font>
    <font>
      <b/>
      <sz val="10"/>
      <name val="Arial"/>
      <family val="2"/>
      <charset val="186"/>
    </font>
    <font>
      <b/>
      <sz val="11"/>
      <color indexed="8"/>
      <name val="Calibri"/>
      <family val="2"/>
    </font>
    <font>
      <sz val="9"/>
      <color indexed="8"/>
      <name val="Arial"/>
      <family val="2"/>
      <charset val="186"/>
    </font>
    <font>
      <sz val="10"/>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4"/>
      <name val="Times New Roman"/>
      <family val="1"/>
      <charset val="186"/>
    </font>
    <font>
      <b/>
      <sz val="14"/>
      <name val="Times New Roman"/>
      <family val="1"/>
      <charset val="186"/>
    </font>
    <font>
      <sz val="12"/>
      <color indexed="8"/>
      <name val="Times New Roman"/>
      <family val="1"/>
      <charset val="186"/>
    </font>
    <font>
      <sz val="11"/>
      <color indexed="8"/>
      <name val="Times New Roman"/>
      <family val="1"/>
    </font>
    <font>
      <b/>
      <sz val="11"/>
      <color indexed="8"/>
      <name val="Times New Roman"/>
      <family val="1"/>
    </font>
    <font>
      <sz val="11"/>
      <name val="Times New Roman"/>
      <family val="1"/>
    </font>
    <font>
      <sz val="11"/>
      <color indexed="8"/>
      <name val="Times New Roman"/>
      <family val="1"/>
      <charset val="186"/>
    </font>
    <font>
      <b/>
      <sz val="11"/>
      <color rgb="FFC00000"/>
      <name val="Times New Roman"/>
      <family val="1"/>
    </font>
    <font>
      <sz val="20"/>
      <color rgb="FFC00000"/>
      <name val="Calibri"/>
      <family val="2"/>
      <charset val="186"/>
    </font>
    <font>
      <sz val="10"/>
      <name val="Calibri"/>
      <family val="2"/>
      <charset val="186"/>
    </font>
    <font>
      <b/>
      <sz val="11"/>
      <color rgb="FFFF0000"/>
      <name val="Calibri"/>
      <family val="2"/>
      <charset val="186"/>
    </font>
    <font>
      <i/>
      <sz val="12"/>
      <color rgb="FFFF0000"/>
      <name val="Times New Roman"/>
      <family val="1"/>
      <charset val="186"/>
    </font>
    <font>
      <b/>
      <sz val="11"/>
      <name val="Calibri"/>
      <family val="2"/>
      <charset val="186"/>
    </font>
    <font>
      <b/>
      <sz val="10"/>
      <color rgb="FFFF0000"/>
      <name val="Verdana"/>
      <family val="2"/>
      <charset val="186"/>
    </font>
    <font>
      <sz val="11"/>
      <color rgb="FF9C0006"/>
      <name val="Calibri"/>
      <family val="2"/>
      <charset val="186"/>
      <scheme val="minor"/>
    </font>
    <font>
      <i/>
      <sz val="11"/>
      <name val="Times New Roman"/>
      <family val="1"/>
      <charset val="186"/>
    </font>
    <font>
      <i/>
      <sz val="10"/>
      <name val="Times New Roman"/>
      <family val="1"/>
      <charset val="186"/>
    </font>
    <font>
      <sz val="12"/>
      <color indexed="8"/>
      <name val="Calibri"/>
      <family val="2"/>
      <charset val="186"/>
    </font>
  </fonts>
  <fills count="1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C7CE"/>
      </patternFill>
    </fill>
    <fill>
      <patternFill patternType="solid">
        <fgColor theme="5" tint="0.79998168889431442"/>
        <bgColor indexed="64"/>
      </patternFill>
    </fill>
  </fills>
  <borders count="5">
    <border>
      <left/>
      <right/>
      <top/>
      <bottom/>
      <diagonal/>
    </border>
    <border>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6" fillId="0" borderId="0"/>
    <xf numFmtId="0" fontId="8" fillId="0" borderId="0"/>
    <xf numFmtId="164" fontId="8" fillId="0" borderId="0" applyFont="0" applyFill="0" applyBorder="0" applyAlignment="0" applyProtection="0"/>
    <xf numFmtId="0" fontId="34" fillId="13" borderId="0" applyNumberFormat="0" applyBorder="0" applyAlignment="0" applyProtection="0"/>
  </cellStyleXfs>
  <cellXfs count="159">
    <xf numFmtId="0" fontId="0" fillId="0" borderId="0" xfId="0"/>
    <xf numFmtId="0" fontId="2" fillId="0" borderId="0" xfId="0" applyFont="1"/>
    <xf numFmtId="0" fontId="0" fillId="0" borderId="0" xfId="0" applyFill="1"/>
    <xf numFmtId="0" fontId="3" fillId="0" borderId="0" xfId="0" applyFont="1"/>
    <xf numFmtId="0" fontId="4" fillId="0" borderId="0" xfId="0" applyFont="1"/>
    <xf numFmtId="0" fontId="5" fillId="0" borderId="0" xfId="0" applyFont="1"/>
    <xf numFmtId="165" fontId="1" fillId="2" borderId="0" xfId="1" applyNumberFormat="1" applyFont="1" applyFill="1"/>
    <xf numFmtId="0" fontId="6" fillId="0" borderId="0" xfId="0" applyFont="1" applyFill="1" applyAlignment="1">
      <alignment horizontal="right" vertical="center" indent="1"/>
    </xf>
    <xf numFmtId="0" fontId="6" fillId="0" borderId="1" xfId="0" applyFont="1" applyFill="1" applyBorder="1" applyAlignment="1">
      <alignment horizontal="center" vertical="center"/>
    </xf>
    <xf numFmtId="0" fontId="0" fillId="0" borderId="0" xfId="0" applyAlignment="1">
      <alignment horizontal="right"/>
    </xf>
    <xf numFmtId="164" fontId="1" fillId="3" borderId="0" xfId="1" applyFont="1" applyFill="1"/>
    <xf numFmtId="164" fontId="1" fillId="0" borderId="0" xfId="1" applyNumberFormat="1" applyFont="1"/>
    <xf numFmtId="164" fontId="5" fillId="0" borderId="0" xfId="1" applyNumberFormat="1" applyFont="1"/>
    <xf numFmtId="164" fontId="0" fillId="0" borderId="0" xfId="0" applyNumberFormat="1"/>
    <xf numFmtId="0" fontId="6" fillId="0" borderId="0" xfId="0" applyFont="1" applyFill="1" applyAlignment="1">
      <alignment horizontal="center" vertical="center"/>
    </xf>
    <xf numFmtId="164" fontId="0" fillId="3" borderId="0" xfId="0" applyNumberFormat="1" applyFill="1"/>
    <xf numFmtId="165" fontId="7" fillId="4" borderId="0" xfId="1" applyNumberFormat="1" applyFont="1" applyFill="1"/>
    <xf numFmtId="0" fontId="6" fillId="0" borderId="0" xfId="0" applyFont="1" applyAlignment="1">
      <alignment vertical="center"/>
    </xf>
    <xf numFmtId="165" fontId="1" fillId="0" borderId="0" xfId="1" applyNumberFormat="1" applyFont="1"/>
    <xf numFmtId="9" fontId="1" fillId="0" borderId="0" xfId="2" applyFont="1"/>
    <xf numFmtId="165" fontId="1" fillId="4" borderId="0" xfId="1" applyNumberFormat="1" applyFont="1" applyFill="1"/>
    <xf numFmtId="0" fontId="6" fillId="0" borderId="0" xfId="0" applyFont="1" applyAlignment="1"/>
    <xf numFmtId="165" fontId="9" fillId="5" borderId="0" xfId="1" applyNumberFormat="1" applyFont="1" applyFill="1"/>
    <xf numFmtId="0" fontId="9" fillId="0" borderId="0" xfId="0" applyFont="1" applyAlignment="1">
      <alignment wrapText="1"/>
    </xf>
    <xf numFmtId="0" fontId="9" fillId="0" borderId="0" xfId="0" applyFont="1" applyAlignment="1"/>
    <xf numFmtId="0" fontId="0" fillId="0" borderId="0" xfId="0" applyAlignment="1">
      <alignment vertical="center"/>
    </xf>
    <xf numFmtId="0" fontId="0" fillId="0" borderId="0" xfId="0" applyFill="1" applyAlignment="1">
      <alignment vertical="center"/>
    </xf>
    <xf numFmtId="0" fontId="6" fillId="0" borderId="0" xfId="0" applyFont="1" applyAlignment="1">
      <alignment horizontal="left" vertical="center" indent="1"/>
    </xf>
    <xf numFmtId="165" fontId="7" fillId="0" borderId="0" xfId="1" applyNumberFormat="1" applyFont="1" applyFill="1"/>
    <xf numFmtId="164" fontId="0" fillId="4" borderId="0" xfId="1" applyFont="1" applyFill="1"/>
    <xf numFmtId="0" fontId="6" fillId="0" borderId="0" xfId="0" applyFont="1"/>
    <xf numFmtId="165" fontId="0" fillId="4" borderId="0" xfId="1" applyNumberFormat="1" applyFont="1" applyFill="1"/>
    <xf numFmtId="0" fontId="6" fillId="0" borderId="0" xfId="0" applyFont="1" applyFill="1" applyAlignment="1">
      <alignment horizontal="left" vertical="center" wrapText="1"/>
    </xf>
    <xf numFmtId="43" fontId="0" fillId="4" borderId="0" xfId="0" applyNumberFormat="1" applyFill="1"/>
    <xf numFmtId="0" fontId="10" fillId="0" borderId="0" xfId="0" applyFont="1"/>
    <xf numFmtId="0" fontId="3" fillId="0" borderId="0" xfId="0" applyFont="1" applyAlignment="1">
      <alignment horizontal="right"/>
    </xf>
    <xf numFmtId="0" fontId="11" fillId="0" borderId="0" xfId="0" applyFont="1"/>
    <xf numFmtId="165" fontId="12" fillId="0" borderId="0" xfId="1" applyNumberFormat="1" applyFont="1" applyAlignment="1">
      <alignment horizontal="left"/>
    </xf>
    <xf numFmtId="0" fontId="0" fillId="6" borderId="0" xfId="0" applyFill="1"/>
    <xf numFmtId="165" fontId="12" fillId="6" borderId="0" xfId="1" applyNumberFormat="1" applyFont="1" applyFill="1" applyAlignment="1">
      <alignment horizontal="left"/>
    </xf>
    <xf numFmtId="0" fontId="10" fillId="6" borderId="0" xfId="0" applyFont="1" applyFill="1"/>
    <xf numFmtId="0" fontId="0" fillId="7" borderId="0" xfId="0" applyFill="1"/>
    <xf numFmtId="165" fontId="13" fillId="7" borderId="0" xfId="1" applyNumberFormat="1" applyFont="1" applyFill="1" applyAlignment="1">
      <alignment horizontal="left"/>
    </xf>
    <xf numFmtId="0" fontId="0" fillId="0" borderId="0" xfId="0" applyAlignment="1">
      <alignment horizontal="left"/>
    </xf>
    <xf numFmtId="165" fontId="11" fillId="0" borderId="0" xfId="1" applyNumberFormat="1" applyFont="1" applyAlignment="1">
      <alignment horizontal="left"/>
    </xf>
    <xf numFmtId="165" fontId="7" fillId="0" borderId="0" xfId="1" applyNumberFormat="1" applyFont="1" applyAlignment="1">
      <alignment horizontal="left"/>
    </xf>
    <xf numFmtId="0" fontId="0" fillId="0" borderId="0" xfId="0" applyAlignment="1">
      <alignment wrapText="1"/>
    </xf>
    <xf numFmtId="0" fontId="14" fillId="0" borderId="0" xfId="0" applyFont="1"/>
    <xf numFmtId="0" fontId="0" fillId="0" borderId="2" xfId="0" applyBorder="1"/>
    <xf numFmtId="0" fontId="0" fillId="0" borderId="2" xfId="0" applyBorder="1" applyAlignment="1">
      <alignment horizontal="right"/>
    </xf>
    <xf numFmtId="165" fontId="7" fillId="0" borderId="2" xfId="1" applyNumberFormat="1" applyFont="1" applyBorder="1" applyAlignment="1">
      <alignment horizontal="left"/>
    </xf>
    <xf numFmtId="9" fontId="15" fillId="0" borderId="2" xfId="2" applyFont="1" applyBorder="1"/>
    <xf numFmtId="165" fontId="0" fillId="0" borderId="2" xfId="0" applyNumberFormat="1" applyBorder="1"/>
    <xf numFmtId="165" fontId="15" fillId="0" borderId="2" xfId="1" applyNumberFormat="1" applyFont="1" applyBorder="1"/>
    <xf numFmtId="0" fontId="10" fillId="0" borderId="2" xfId="0" applyFont="1" applyBorder="1" applyAlignment="1">
      <alignment horizontal="left"/>
    </xf>
    <xf numFmtId="0" fontId="0" fillId="8" borderId="2" xfId="0" applyFill="1" applyBorder="1"/>
    <xf numFmtId="165" fontId="15" fillId="8" borderId="2" xfId="1" applyNumberFormat="1" applyFont="1" applyFill="1" applyBorder="1"/>
    <xf numFmtId="0" fontId="0" fillId="0" borderId="2" xfId="0" applyFill="1" applyBorder="1"/>
    <xf numFmtId="165" fontId="15" fillId="0" borderId="2" xfId="1" applyNumberFormat="1" applyFont="1" applyFill="1" applyBorder="1"/>
    <xf numFmtId="0" fontId="10" fillId="0" borderId="2" xfId="0" applyFont="1" applyFill="1" applyBorder="1" applyAlignment="1">
      <alignment horizontal="left"/>
    </xf>
    <xf numFmtId="165" fontId="0" fillId="0" borderId="0" xfId="0" applyNumberFormat="1"/>
    <xf numFmtId="2" fontId="17" fillId="8" borderId="2" xfId="5" applyNumberFormat="1" applyFont="1" applyFill="1" applyBorder="1" applyAlignment="1">
      <alignment horizontal="center" vertical="center" wrapText="1"/>
    </xf>
    <xf numFmtId="0" fontId="17" fillId="8" borderId="2" xfId="5" applyFont="1" applyFill="1" applyBorder="1" applyAlignment="1">
      <alignment horizontal="center" vertical="center" wrapText="1"/>
    </xf>
    <xf numFmtId="2" fontId="17" fillId="0" borderId="2" xfId="5" applyNumberFormat="1" applyFont="1" applyFill="1" applyBorder="1" applyAlignment="1">
      <alignment horizontal="center" vertical="center" wrapText="1"/>
    </xf>
    <xf numFmtId="0" fontId="17" fillId="0" borderId="2" xfId="5" applyFont="1" applyFill="1" applyBorder="1" applyAlignment="1">
      <alignment horizontal="center" vertical="center" wrapText="1"/>
    </xf>
    <xf numFmtId="3" fontId="17" fillId="0" borderId="2" xfId="5" applyNumberFormat="1" applyFont="1" applyFill="1" applyBorder="1" applyAlignment="1">
      <alignment horizontal="center" vertical="center" wrapText="1"/>
    </xf>
    <xf numFmtId="0" fontId="18" fillId="0" borderId="2" xfId="5" applyFont="1" applyFill="1" applyBorder="1" applyAlignment="1">
      <alignment horizontal="center"/>
    </xf>
    <xf numFmtId="0" fontId="18" fillId="0" borderId="2" xfId="5" applyFont="1" applyFill="1" applyBorder="1" applyAlignment="1">
      <alignment horizontal="left" wrapText="1"/>
    </xf>
    <xf numFmtId="3" fontId="18" fillId="0" borderId="2" xfId="5" applyNumberFormat="1" applyFont="1" applyFill="1" applyBorder="1" applyAlignment="1">
      <alignment horizontal="center"/>
    </xf>
    <xf numFmtId="0" fontId="19" fillId="0" borderId="2" xfId="5" applyFont="1" applyFill="1" applyBorder="1" applyAlignment="1">
      <alignment horizontal="center"/>
    </xf>
    <xf numFmtId="0" fontId="19" fillId="0" borderId="2" xfId="5" applyFont="1" applyFill="1" applyBorder="1" applyAlignment="1">
      <alignment horizontal="left"/>
    </xf>
    <xf numFmtId="3" fontId="18" fillId="9" borderId="2" xfId="5" applyNumberFormat="1" applyFont="1" applyFill="1" applyBorder="1" applyAlignment="1">
      <alignment horizontal="center"/>
    </xf>
    <xf numFmtId="0" fontId="18" fillId="0" borderId="2" xfId="5" applyFont="1" applyFill="1" applyBorder="1" applyAlignment="1">
      <alignment horizontal="left"/>
    </xf>
    <xf numFmtId="0" fontId="19" fillId="9" borderId="2" xfId="5" applyFont="1" applyFill="1" applyBorder="1" applyAlignment="1">
      <alignment horizontal="right"/>
    </xf>
    <xf numFmtId="0" fontId="19" fillId="0" borderId="2" xfId="5" applyFont="1" applyFill="1" applyBorder="1" applyAlignment="1">
      <alignment horizontal="right"/>
    </xf>
    <xf numFmtId="0" fontId="17" fillId="8" borderId="2" xfId="5" applyFont="1" applyFill="1" applyBorder="1" applyAlignment="1">
      <alignment horizontal="center"/>
    </xf>
    <xf numFmtId="0" fontId="17" fillId="8" borderId="2" xfId="5" applyFont="1" applyFill="1" applyBorder="1" applyAlignment="1">
      <alignment horizontal="right"/>
    </xf>
    <xf numFmtId="3" fontId="17" fillId="8" borderId="2" xfId="5" applyNumberFormat="1" applyFont="1" applyFill="1" applyBorder="1" applyAlignment="1">
      <alignment horizontal="center"/>
    </xf>
    <xf numFmtId="0" fontId="19" fillId="0" borderId="2" xfId="5" applyFont="1" applyFill="1" applyBorder="1" applyAlignment="1">
      <alignment horizontal="right" wrapText="1"/>
    </xf>
    <xf numFmtId="0" fontId="19" fillId="9" borderId="2" xfId="5" applyFont="1" applyFill="1" applyBorder="1" applyAlignment="1">
      <alignment horizontal="right" wrapText="1"/>
    </xf>
    <xf numFmtId="0" fontId="18" fillId="8" borderId="2" xfId="5" applyFont="1" applyFill="1" applyBorder="1" applyAlignment="1">
      <alignment horizontal="center"/>
    </xf>
    <xf numFmtId="3" fontId="17" fillId="9" borderId="2" xfId="5" applyNumberFormat="1" applyFont="1" applyFill="1" applyBorder="1" applyAlignment="1">
      <alignment horizontal="center"/>
    </xf>
    <xf numFmtId="0" fontId="20" fillId="0" borderId="0" xfId="5" applyFont="1" applyFill="1"/>
    <xf numFmtId="0" fontId="21" fillId="0" borderId="0" xfId="5" applyFont="1" applyFill="1" applyAlignment="1">
      <alignment horizontal="right"/>
    </xf>
    <xf numFmtId="3" fontId="17" fillId="0" borderId="0" xfId="5" applyNumberFormat="1" applyFont="1" applyFill="1" applyAlignment="1">
      <alignment horizontal="center"/>
    </xf>
    <xf numFmtId="165" fontId="22" fillId="9" borderId="2" xfId="1" applyNumberFormat="1" applyFont="1" applyFill="1" applyBorder="1" applyAlignment="1" applyProtection="1">
      <alignment horizontal="right" wrapText="1"/>
    </xf>
    <xf numFmtId="165" fontId="22" fillId="0" borderId="2" xfId="1" applyNumberFormat="1" applyFont="1" applyFill="1" applyBorder="1" applyAlignment="1" applyProtection="1">
      <alignment horizontal="right" wrapText="1"/>
    </xf>
    <xf numFmtId="0" fontId="8" fillId="0" borderId="0" xfId="6"/>
    <xf numFmtId="0" fontId="23" fillId="0" borderId="0" xfId="6" applyFont="1"/>
    <xf numFmtId="0" fontId="23" fillId="0" borderId="0" xfId="6" applyFont="1" applyAlignment="1">
      <alignment horizontal="right" vertical="center"/>
    </xf>
    <xf numFmtId="0" fontId="23" fillId="0" borderId="0" xfId="6" applyFont="1" applyAlignment="1">
      <alignment horizontal="center" vertical="center"/>
    </xf>
    <xf numFmtId="0" fontId="23" fillId="0" borderId="0" xfId="6" applyFont="1" applyAlignment="1">
      <alignment horizontal="justify" wrapText="1"/>
    </xf>
    <xf numFmtId="0" fontId="24" fillId="0" borderId="3" xfId="6" applyFont="1" applyBorder="1" applyAlignment="1">
      <alignment horizontal="right" wrapText="1"/>
    </xf>
    <xf numFmtId="0" fontId="24" fillId="0" borderId="4" xfId="6" applyFont="1" applyBorder="1" applyAlignment="1">
      <alignment horizontal="center" wrapText="1"/>
    </xf>
    <xf numFmtId="0" fontId="23" fillId="0" borderId="2" xfId="6" applyFont="1" applyBorder="1"/>
    <xf numFmtId="165" fontId="23" fillId="0" borderId="2" xfId="7" applyNumberFormat="1" applyFont="1" applyBorder="1"/>
    <xf numFmtId="0" fontId="24" fillId="0" borderId="0" xfId="6" applyFont="1"/>
    <xf numFmtId="0" fontId="24" fillId="0" borderId="2" xfId="6" applyFont="1" applyBorder="1"/>
    <xf numFmtId="165" fontId="24" fillId="0" borderId="2" xfId="7" applyNumberFormat="1" applyFont="1" applyBorder="1"/>
    <xf numFmtId="165" fontId="26" fillId="0" borderId="2" xfId="7" applyNumberFormat="1" applyFont="1" applyBorder="1"/>
    <xf numFmtId="0" fontId="27" fillId="0" borderId="0" xfId="6" applyFont="1"/>
    <xf numFmtId="164" fontId="27" fillId="0" borderId="2" xfId="1" applyFont="1" applyBorder="1"/>
    <xf numFmtId="0" fontId="28" fillId="0" borderId="0" xfId="6" applyFont="1"/>
    <xf numFmtId="0" fontId="7" fillId="0" borderId="0" xfId="0" applyFont="1"/>
    <xf numFmtId="0" fontId="7" fillId="10" borderId="0" xfId="0" applyFont="1" applyFill="1"/>
    <xf numFmtId="165" fontId="12" fillId="10" borderId="0" xfId="1" applyNumberFormat="1" applyFont="1" applyFill="1" applyAlignment="1">
      <alignment horizontal="left"/>
    </xf>
    <xf numFmtId="0" fontId="29" fillId="10" borderId="0" xfId="0" applyFont="1" applyFill="1"/>
    <xf numFmtId="164" fontId="1" fillId="4" borderId="0" xfId="1" applyFont="1" applyFill="1"/>
    <xf numFmtId="0" fontId="0" fillId="0" borderId="0" xfId="0" applyAlignment="1">
      <alignment horizontal="center"/>
    </xf>
    <xf numFmtId="0" fontId="10" fillId="0" borderId="0" xfId="0" applyFont="1" applyAlignment="1">
      <alignment horizontal="left"/>
    </xf>
    <xf numFmtId="0" fontId="18" fillId="0" borderId="0" xfId="5" applyFont="1" applyFill="1" applyBorder="1" applyAlignment="1">
      <alignment horizontal="center" wrapText="1"/>
    </xf>
    <xf numFmtId="0" fontId="10" fillId="0" borderId="0" xfId="0" applyFont="1" applyAlignment="1">
      <alignment horizontal="left"/>
    </xf>
    <xf numFmtId="0" fontId="10" fillId="0" borderId="0" xfId="0" applyFont="1" applyAlignment="1">
      <alignment horizontal="left"/>
    </xf>
    <xf numFmtId="0" fontId="0" fillId="11" borderId="0" xfId="0" applyFill="1"/>
    <xf numFmtId="0" fontId="30" fillId="0" borderId="0" xfId="0" applyFont="1"/>
    <xf numFmtId="0" fontId="0" fillId="5" borderId="2" xfId="0" applyFill="1" applyBorder="1"/>
    <xf numFmtId="0" fontId="0" fillId="11" borderId="0" xfId="0" applyFont="1" applyFill="1"/>
    <xf numFmtId="0" fontId="0" fillId="0" borderId="0" xfId="0" applyFont="1"/>
    <xf numFmtId="0" fontId="0" fillId="0" borderId="0" xfId="0" applyFont="1" applyAlignment="1">
      <alignment horizontal="right"/>
    </xf>
    <xf numFmtId="0" fontId="17" fillId="8" borderId="2" xfId="5" applyFont="1" applyFill="1" applyBorder="1" applyAlignment="1">
      <alignment horizontal="right" wrapText="1"/>
    </xf>
    <xf numFmtId="0" fontId="3" fillId="0" borderId="0" xfId="0" applyFont="1" applyAlignment="1">
      <alignment vertical="center"/>
    </xf>
    <xf numFmtId="0" fontId="0" fillId="12" borderId="0" xfId="0" applyFill="1"/>
    <xf numFmtId="0" fontId="32" fillId="5" borderId="0" xfId="0" applyFont="1" applyFill="1"/>
    <xf numFmtId="0" fontId="0" fillId="5" borderId="0" xfId="0" applyFill="1"/>
    <xf numFmtId="0" fontId="3" fillId="5" borderId="0" xfId="0" applyFont="1" applyFill="1"/>
    <xf numFmtId="0" fontId="29" fillId="0" borderId="0" xfId="0" applyFont="1" applyAlignment="1">
      <alignment horizontal="left"/>
    </xf>
    <xf numFmtId="0" fontId="29" fillId="0" borderId="2" xfId="0" applyFont="1" applyBorder="1" applyAlignment="1">
      <alignment horizontal="left"/>
    </xf>
    <xf numFmtId="4" fontId="19" fillId="9" borderId="2" xfId="5" applyNumberFormat="1" applyFont="1" applyFill="1" applyBorder="1" applyAlignment="1">
      <alignment horizontal="center"/>
    </xf>
    <xf numFmtId="165" fontId="22" fillId="0" borderId="2" xfId="1" applyNumberFormat="1" applyFont="1" applyFill="1" applyBorder="1" applyAlignment="1" applyProtection="1">
      <alignment horizontal="center" wrapText="1"/>
    </xf>
    <xf numFmtId="4" fontId="17" fillId="5" borderId="2" xfId="5" applyNumberFormat="1" applyFont="1" applyFill="1" applyBorder="1" applyAlignment="1">
      <alignment horizontal="center"/>
    </xf>
    <xf numFmtId="0" fontId="17" fillId="5" borderId="2" xfId="5" applyFont="1" applyFill="1" applyBorder="1" applyAlignment="1">
      <alignment horizontal="center"/>
    </xf>
    <xf numFmtId="0" fontId="27" fillId="5" borderId="2" xfId="6" applyFont="1" applyFill="1" applyBorder="1"/>
    <xf numFmtId="164" fontId="27" fillId="5" borderId="2" xfId="1" applyFont="1" applyFill="1" applyBorder="1"/>
    <xf numFmtId="3" fontId="19" fillId="9" borderId="2" xfId="5" applyNumberFormat="1" applyFont="1" applyFill="1" applyBorder="1" applyAlignment="1">
      <alignment horizontal="center"/>
    </xf>
    <xf numFmtId="165" fontId="19" fillId="0" borderId="0" xfId="1" applyNumberFormat="1" applyFont="1" applyAlignment="1">
      <alignment horizontal="center"/>
    </xf>
    <xf numFmtId="165" fontId="19" fillId="9" borderId="2" xfId="1" applyNumberFormat="1" applyFont="1" applyFill="1" applyBorder="1" applyAlignment="1">
      <alignment horizontal="center"/>
    </xf>
    <xf numFmtId="0" fontId="10" fillId="0" borderId="0" xfId="0" applyFont="1" applyAlignment="1">
      <alignment horizontal="left"/>
    </xf>
    <xf numFmtId="0" fontId="6" fillId="0" borderId="0" xfId="0" applyFont="1" applyFill="1" applyAlignment="1">
      <alignment horizontal="left" vertical="center" indent="1"/>
    </xf>
    <xf numFmtId="0" fontId="6" fillId="0" borderId="0" xfId="0" applyFont="1" applyAlignment="1">
      <alignment horizontal="left" vertical="center" wrapText="1"/>
    </xf>
    <xf numFmtId="0" fontId="17" fillId="8" borderId="3" xfId="5" applyFont="1" applyFill="1" applyBorder="1" applyAlignment="1">
      <alignment horizontal="center"/>
    </xf>
    <xf numFmtId="0" fontId="17" fillId="8" borderId="4" xfId="5" applyFont="1" applyFill="1" applyBorder="1" applyAlignment="1">
      <alignment horizontal="center"/>
    </xf>
    <xf numFmtId="0" fontId="17" fillId="0" borderId="3" xfId="5" applyFont="1" applyFill="1" applyBorder="1" applyAlignment="1">
      <alignment horizontal="center"/>
    </xf>
    <xf numFmtId="0" fontId="17" fillId="0" borderId="4" xfId="5" applyFont="1" applyFill="1" applyBorder="1" applyAlignment="1">
      <alignment horizontal="center"/>
    </xf>
    <xf numFmtId="0" fontId="18" fillId="0" borderId="3" xfId="5" applyFont="1" applyFill="1" applyBorder="1" applyAlignment="1">
      <alignment horizontal="center"/>
    </xf>
    <xf numFmtId="0" fontId="18" fillId="0" borderId="4" xfId="5" applyFont="1" applyFill="1" applyBorder="1" applyAlignment="1">
      <alignment horizontal="center"/>
    </xf>
    <xf numFmtId="0" fontId="19" fillId="0" borderId="3" xfId="5" applyFont="1" applyFill="1" applyBorder="1" applyAlignment="1">
      <alignment horizontal="right" wrapText="1"/>
    </xf>
    <xf numFmtId="0" fontId="19" fillId="0" borderId="4" xfId="5" applyFont="1" applyFill="1" applyBorder="1" applyAlignment="1">
      <alignment horizontal="right" wrapText="1"/>
    </xf>
    <xf numFmtId="0" fontId="3" fillId="0" borderId="0" xfId="0" applyFont="1" applyAlignment="1">
      <alignment horizontal="center"/>
    </xf>
    <xf numFmtId="0" fontId="3" fillId="0" borderId="0" xfId="0" applyFont="1" applyAlignment="1">
      <alignment horizontal="center" vertical="center"/>
    </xf>
    <xf numFmtId="0" fontId="36" fillId="0" borderId="0" xfId="5" applyFont="1" applyFill="1"/>
    <xf numFmtId="0" fontId="23" fillId="14" borderId="2" xfId="6" applyFont="1" applyFill="1" applyBorder="1" applyAlignment="1">
      <alignment wrapText="1"/>
    </xf>
    <xf numFmtId="164" fontId="25" fillId="14" borderId="2" xfId="6" applyNumberFormat="1" applyFont="1" applyFill="1" applyBorder="1" applyAlignment="1">
      <alignment horizontal="justify" wrapText="1"/>
    </xf>
    <xf numFmtId="164" fontId="23" fillId="14" borderId="2" xfId="6" applyNumberFormat="1" applyFont="1" applyFill="1" applyBorder="1" applyAlignment="1">
      <alignment horizontal="justify" wrapText="1"/>
    </xf>
    <xf numFmtId="164" fontId="25" fillId="10" borderId="0" xfId="6" applyNumberFormat="1" applyFont="1" applyFill="1" applyBorder="1" applyAlignment="1">
      <alignment horizontal="justify" wrapText="1"/>
    </xf>
    <xf numFmtId="164" fontId="23" fillId="10" borderId="0" xfId="6" applyNumberFormat="1" applyFont="1" applyFill="1" applyBorder="1" applyAlignment="1">
      <alignment horizontal="justify" wrapText="1"/>
    </xf>
    <xf numFmtId="43" fontId="37" fillId="0" borderId="0" xfId="6" applyNumberFormat="1" applyFont="1"/>
    <xf numFmtId="0" fontId="23" fillId="10" borderId="0" xfId="6" applyFont="1" applyFill="1" applyBorder="1" applyAlignment="1">
      <alignment horizontal="right" wrapText="1"/>
    </xf>
    <xf numFmtId="0" fontId="34" fillId="13" borderId="0" xfId="8" applyAlignment="1">
      <alignment horizontal="right"/>
    </xf>
    <xf numFmtId="43" fontId="34" fillId="13" borderId="0" xfId="8" applyNumberFormat="1" applyBorder="1" applyAlignment="1">
      <alignment horizontal="right" wrapText="1"/>
    </xf>
  </cellXfs>
  <cellStyles count="9">
    <cellStyle name="Bad" xfId="8" builtinId="27"/>
    <cellStyle name="Comma" xfId="1" xr:uid="{00000000-0005-0000-0000-000000000000}"/>
    <cellStyle name="Komats 10" xfId="7" xr:uid="{00000000-0005-0000-0000-000001000000}"/>
    <cellStyle name="Normal" xfId="0" builtinId="0"/>
    <cellStyle name="Normal 2 2" xfId="3" xr:uid="{00000000-0005-0000-0000-000002000000}"/>
    <cellStyle name="Parasts 2" xfId="4" xr:uid="{00000000-0005-0000-0000-000004000000}"/>
    <cellStyle name="Parasts 3" xfId="6" xr:uid="{00000000-0005-0000-0000-000005000000}"/>
    <cellStyle name="Parasts 7" xfId="5" xr:uid="{00000000-0005-0000-0000-000006000000}"/>
    <cellStyle name="Percent"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4"/>
  <sheetViews>
    <sheetView zoomScale="85" zoomScaleNormal="85" workbookViewId="0">
      <selection activeCell="W3" sqref="W3"/>
    </sheetView>
  </sheetViews>
  <sheetFormatPr defaultRowHeight="14.4" x14ac:dyDescent="0.3"/>
  <sheetData>
    <row r="1" spans="2:16" x14ac:dyDescent="0.3">
      <c r="B1" s="1" t="s">
        <v>0</v>
      </c>
    </row>
    <row r="2" spans="2:16" x14ac:dyDescent="0.3">
      <c r="D2" s="2"/>
      <c r="E2" s="2"/>
      <c r="F2" s="2"/>
      <c r="L2" s="3" t="s">
        <v>1</v>
      </c>
      <c r="M2" s="4" t="s">
        <v>2</v>
      </c>
      <c r="N2" t="s">
        <v>3</v>
      </c>
      <c r="P2" s="5"/>
    </row>
    <row r="3" spans="2:16" ht="15" thickBot="1" x14ac:dyDescent="0.35">
      <c r="C3" s="6">
        <f>((B14/C6+C10)*C8+C12)/12</f>
        <v>389.22535531529462</v>
      </c>
      <c r="D3" s="7" t="s">
        <v>4</v>
      </c>
      <c r="E3" s="8" t="s">
        <v>5</v>
      </c>
      <c r="F3" s="137" t="s">
        <v>6</v>
      </c>
      <c r="I3" s="9" t="s">
        <v>7</v>
      </c>
      <c r="J3" s="10">
        <f>C3/C8</f>
        <v>4.3733185990482539</v>
      </c>
      <c r="L3" s="11">
        <f>J3*C8</f>
        <v>389.22535531529462</v>
      </c>
      <c r="M3" s="12">
        <f>L3/20</f>
        <v>19.461267765764731</v>
      </c>
      <c r="N3" s="13">
        <f>M3/3</f>
        <v>6.4870892552549106</v>
      </c>
      <c r="P3" s="5"/>
    </row>
    <row r="4" spans="2:16" x14ac:dyDescent="0.3">
      <c r="C4" s="9" t="s">
        <v>8</v>
      </c>
      <c r="D4" s="7"/>
      <c r="E4" s="14">
        <v>12</v>
      </c>
      <c r="F4" s="137"/>
      <c r="I4" s="9" t="s">
        <v>9</v>
      </c>
      <c r="J4" s="15">
        <f>J3*1.21</f>
        <v>5.291715504848387</v>
      </c>
      <c r="L4" s="11">
        <f>J4*C8</f>
        <v>470.96267993150644</v>
      </c>
      <c r="M4" s="12">
        <f>L4/20</f>
        <v>23.548133996575324</v>
      </c>
      <c r="N4" s="13">
        <f>M4/3</f>
        <v>7.8493779988584409</v>
      </c>
      <c r="P4" s="5"/>
    </row>
    <row r="5" spans="2:16" x14ac:dyDescent="0.3">
      <c r="D5" s="2"/>
      <c r="E5" s="2"/>
      <c r="F5" s="2"/>
      <c r="L5" s="13"/>
      <c r="P5" s="5"/>
    </row>
    <row r="6" spans="2:16" x14ac:dyDescent="0.3">
      <c r="C6" s="16">
        <v>3000</v>
      </c>
      <c r="D6" t="s">
        <v>10</v>
      </c>
      <c r="E6" s="17" t="s">
        <v>11</v>
      </c>
      <c r="P6" s="5"/>
    </row>
    <row r="7" spans="2:16" x14ac:dyDescent="0.3">
      <c r="C7" s="18"/>
      <c r="E7" s="17"/>
      <c r="P7" s="5"/>
    </row>
    <row r="8" spans="2:16" x14ac:dyDescent="0.3">
      <c r="B8" s="19">
        <f>C8/C6</f>
        <v>2.9666666666666668E-2</v>
      </c>
      <c r="C8" s="20">
        <v>89</v>
      </c>
      <c r="D8" t="s">
        <v>12</v>
      </c>
      <c r="E8" s="21" t="s">
        <v>13</v>
      </c>
      <c r="F8" s="21"/>
      <c r="M8" s="13"/>
    </row>
    <row r="9" spans="2:16" x14ac:dyDescent="0.3">
      <c r="C9" s="18"/>
      <c r="E9" s="17"/>
    </row>
    <row r="10" spans="2:16" x14ac:dyDescent="0.3">
      <c r="C10" s="107">
        <f>B54</f>
        <v>0.54502978033934923</v>
      </c>
      <c r="D10" t="s">
        <v>14</v>
      </c>
      <c r="E10" s="21" t="s">
        <v>15</v>
      </c>
    </row>
    <row r="11" spans="2:16" x14ac:dyDescent="0.3">
      <c r="D11" s="21"/>
    </row>
    <row r="12" spans="2:16" x14ac:dyDescent="0.3">
      <c r="C12" s="22">
        <v>28</v>
      </c>
      <c r="D12" s="23" t="s">
        <v>16</v>
      </c>
      <c r="E12" s="24" t="s">
        <v>17</v>
      </c>
    </row>
    <row r="13" spans="2:16" x14ac:dyDescent="0.3">
      <c r="D13" s="21"/>
    </row>
    <row r="14" spans="2:16" x14ac:dyDescent="0.3">
      <c r="B14" s="20">
        <f>C23+C34+C36+C40+C41+C43</f>
        <v>154860.56</v>
      </c>
      <c r="C14" t="s">
        <v>18</v>
      </c>
      <c r="D14" t="s">
        <v>19</v>
      </c>
    </row>
    <row r="16" spans="2:16" x14ac:dyDescent="0.3">
      <c r="E16" s="17" t="s">
        <v>20</v>
      </c>
    </row>
    <row r="17" spans="3:9" x14ac:dyDescent="0.3">
      <c r="E17" s="25"/>
    </row>
    <row r="18" spans="3:9" x14ac:dyDescent="0.3">
      <c r="E18" t="s">
        <v>21</v>
      </c>
      <c r="I18" t="s">
        <v>21</v>
      </c>
    </row>
    <row r="19" spans="3:9" x14ac:dyDescent="0.3">
      <c r="E19" s="26"/>
    </row>
    <row r="20" spans="3:9" x14ac:dyDescent="0.3">
      <c r="E20" s="27" t="s">
        <v>22</v>
      </c>
    </row>
    <row r="23" spans="3:9" x14ac:dyDescent="0.3">
      <c r="C23" s="20">
        <f>D84+D87</f>
        <v>136881</v>
      </c>
      <c r="D23" t="s">
        <v>23</v>
      </c>
      <c r="E23" t="s">
        <v>24</v>
      </c>
    </row>
    <row r="24" spans="3:9" x14ac:dyDescent="0.3">
      <c r="C24" s="18"/>
      <c r="E24" t="s">
        <v>25</v>
      </c>
    </row>
    <row r="25" spans="3:9" x14ac:dyDescent="0.3">
      <c r="C25" s="18"/>
      <c r="E25" t="s">
        <v>26</v>
      </c>
    </row>
    <row r="26" spans="3:9" x14ac:dyDescent="0.3">
      <c r="C26" s="18"/>
      <c r="E26" t="s">
        <v>27</v>
      </c>
    </row>
    <row r="27" spans="3:9" x14ac:dyDescent="0.3">
      <c r="C27" s="18"/>
      <c r="E27" t="s">
        <v>28</v>
      </c>
    </row>
    <row r="28" spans="3:9" x14ac:dyDescent="0.3">
      <c r="C28" s="18"/>
      <c r="E28" t="s">
        <v>29</v>
      </c>
    </row>
    <row r="29" spans="3:9" x14ac:dyDescent="0.3">
      <c r="C29" s="18"/>
      <c r="E29" t="s">
        <v>30</v>
      </c>
    </row>
    <row r="30" spans="3:9" x14ac:dyDescent="0.3">
      <c r="C30" s="18"/>
      <c r="E30" t="s">
        <v>31</v>
      </c>
    </row>
    <row r="31" spans="3:9" x14ac:dyDescent="0.3">
      <c r="C31" s="18"/>
      <c r="E31" t="s">
        <v>32</v>
      </c>
    </row>
    <row r="32" spans="3:9" x14ac:dyDescent="0.3">
      <c r="C32" s="18"/>
      <c r="E32" t="s">
        <v>33</v>
      </c>
    </row>
    <row r="33" spans="2:18" x14ac:dyDescent="0.3">
      <c r="C33" s="18"/>
      <c r="E33" t="s">
        <v>34</v>
      </c>
    </row>
    <row r="34" spans="2:18" x14ac:dyDescent="0.3">
      <c r="C34" s="20">
        <f>D104</f>
        <v>17979.560000000001</v>
      </c>
      <c r="D34" t="s">
        <v>35</v>
      </c>
      <c r="E34" t="s">
        <v>36</v>
      </c>
    </row>
    <row r="35" spans="2:18" x14ac:dyDescent="0.3">
      <c r="C35" s="18"/>
      <c r="E35" t="s">
        <v>37</v>
      </c>
    </row>
    <row r="36" spans="2:18" x14ac:dyDescent="0.3">
      <c r="B36" t="s">
        <v>132</v>
      </c>
      <c r="C36" s="20"/>
      <c r="D36" t="s">
        <v>38</v>
      </c>
      <c r="E36" t="s">
        <v>39</v>
      </c>
    </row>
    <row r="37" spans="2:18" x14ac:dyDescent="0.3">
      <c r="C37" s="18"/>
      <c r="E37" t="s">
        <v>40</v>
      </c>
    </row>
    <row r="38" spans="2:18" x14ac:dyDescent="0.3">
      <c r="C38" s="18"/>
      <c r="E38" t="s">
        <v>41</v>
      </c>
    </row>
    <row r="39" spans="2:18" x14ac:dyDescent="0.3">
      <c r="C39" s="18"/>
      <c r="E39" t="s">
        <v>42</v>
      </c>
    </row>
    <row r="40" spans="2:18" x14ac:dyDescent="0.3">
      <c r="C40" s="20">
        <f>D90</f>
        <v>0</v>
      </c>
      <c r="D40" t="s">
        <v>43</v>
      </c>
      <c r="E40" t="s">
        <v>44</v>
      </c>
    </row>
    <row r="41" spans="2:18" x14ac:dyDescent="0.3">
      <c r="C41" s="20"/>
      <c r="D41" t="s">
        <v>45</v>
      </c>
      <c r="E41" t="s">
        <v>46</v>
      </c>
    </row>
    <row r="42" spans="2:18" x14ac:dyDescent="0.3">
      <c r="C42" s="20">
        <f>E106</f>
        <v>0</v>
      </c>
      <c r="D42" t="s">
        <v>47</v>
      </c>
      <c r="E42" t="s">
        <v>48</v>
      </c>
    </row>
    <row r="43" spans="2:18" x14ac:dyDescent="0.3">
      <c r="B43" s="2"/>
      <c r="C43" s="28"/>
      <c r="D43" s="2"/>
      <c r="E43" s="2" t="s">
        <v>49</v>
      </c>
      <c r="F43" s="2"/>
      <c r="G43" s="2"/>
      <c r="H43" s="2"/>
      <c r="I43" s="2"/>
      <c r="J43" s="2"/>
      <c r="K43" s="2"/>
      <c r="L43" s="2"/>
      <c r="M43" s="2"/>
      <c r="N43" s="2"/>
      <c r="O43" s="2"/>
      <c r="P43" s="2"/>
      <c r="Q43" s="2"/>
      <c r="R43" s="2"/>
    </row>
    <row r="44" spans="2:18" x14ac:dyDescent="0.3">
      <c r="B44" s="2"/>
      <c r="C44" s="28"/>
      <c r="D44" s="2"/>
      <c r="E44" s="2" t="s">
        <v>50</v>
      </c>
      <c r="F44" s="2"/>
      <c r="G44" s="2"/>
      <c r="H44" s="2"/>
      <c r="I44" s="2"/>
      <c r="J44" s="2"/>
      <c r="K44" s="2"/>
      <c r="L44" s="2"/>
      <c r="M44" s="2"/>
      <c r="N44" s="2"/>
      <c r="O44" s="2"/>
      <c r="P44" s="2"/>
      <c r="Q44" s="2"/>
      <c r="R44" s="2"/>
    </row>
    <row r="45" spans="2:18" x14ac:dyDescent="0.3">
      <c r="E45" s="2" t="s">
        <v>51</v>
      </c>
    </row>
    <row r="46" spans="2:18" x14ac:dyDescent="0.3">
      <c r="E46" s="2" t="s">
        <v>52</v>
      </c>
    </row>
    <row r="47" spans="2:18" x14ac:dyDescent="0.3">
      <c r="E47" s="2" t="s">
        <v>53</v>
      </c>
    </row>
    <row r="48" spans="2:18" x14ac:dyDescent="0.3">
      <c r="E48" s="2" t="s">
        <v>54</v>
      </c>
    </row>
    <row r="49" spans="1:18" x14ac:dyDescent="0.3">
      <c r="E49" s="2" t="s">
        <v>55</v>
      </c>
    </row>
    <row r="50" spans="1:18" x14ac:dyDescent="0.3">
      <c r="C50" s="20"/>
      <c r="D50" t="s">
        <v>56</v>
      </c>
      <c r="E50" s="2" t="s">
        <v>57</v>
      </c>
    </row>
    <row r="51" spans="1:18" x14ac:dyDescent="0.3">
      <c r="E51" s="2" t="s">
        <v>58</v>
      </c>
    </row>
    <row r="54" spans="1:18" ht="29.25" customHeight="1" x14ac:dyDescent="0.3">
      <c r="B54" s="29">
        <f>C60*C62/C64</f>
        <v>0.54502978033934923</v>
      </c>
      <c r="C54" t="s">
        <v>14</v>
      </c>
      <c r="D54" s="138" t="s">
        <v>59</v>
      </c>
      <c r="E54" s="138"/>
      <c r="F54" s="138"/>
      <c r="G54" s="138"/>
      <c r="H54" s="138"/>
      <c r="I54" s="138"/>
      <c r="J54" s="138"/>
      <c r="K54" s="138"/>
      <c r="L54" s="138"/>
      <c r="M54" s="138"/>
      <c r="N54" s="138"/>
      <c r="O54" s="138"/>
      <c r="P54" s="138"/>
      <c r="Q54" s="138"/>
      <c r="R54" s="138"/>
    </row>
    <row r="56" spans="1:18" x14ac:dyDescent="0.3">
      <c r="F56" s="30" t="s">
        <v>60</v>
      </c>
    </row>
    <row r="58" spans="1:18" x14ac:dyDescent="0.3">
      <c r="F58" s="30" t="s">
        <v>61</v>
      </c>
    </row>
    <row r="60" spans="1:18" ht="33" customHeight="1" x14ac:dyDescent="0.3">
      <c r="C60" s="31">
        <f>D100</f>
        <v>24717</v>
      </c>
      <c r="D60" t="s">
        <v>62</v>
      </c>
      <c r="E60" s="138" t="s">
        <v>63</v>
      </c>
      <c r="F60" s="138"/>
      <c r="G60" s="138"/>
      <c r="H60" s="138"/>
      <c r="I60" s="138"/>
      <c r="J60" s="138"/>
      <c r="K60" s="138"/>
      <c r="L60" s="138"/>
      <c r="M60" s="138"/>
      <c r="N60" s="138"/>
      <c r="O60" s="138"/>
      <c r="P60" s="138"/>
      <c r="Q60" s="138"/>
      <c r="R60" s="138"/>
    </row>
    <row r="61" spans="1:18" x14ac:dyDescent="0.3">
      <c r="B61" s="2"/>
      <c r="C61" s="2"/>
      <c r="D61" s="2"/>
      <c r="E61" s="32"/>
      <c r="F61" s="32"/>
      <c r="G61" s="32"/>
      <c r="H61" s="32"/>
      <c r="I61" s="32"/>
      <c r="J61" s="32"/>
      <c r="K61" s="32"/>
      <c r="L61" s="32"/>
      <c r="M61" s="32"/>
      <c r="N61" s="32"/>
      <c r="O61" s="32"/>
      <c r="P61" s="32"/>
      <c r="Q61" s="32"/>
      <c r="R61" s="32"/>
    </row>
    <row r="62" spans="1:18" ht="36.75" customHeight="1" x14ac:dyDescent="0.3">
      <c r="A62" s="113"/>
      <c r="C62" s="33">
        <f>(D92+D86)/(807927+77120)</f>
        <v>6.6152419024074427E-2</v>
      </c>
      <c r="D62" t="s">
        <v>64</v>
      </c>
      <c r="E62" s="138" t="s">
        <v>65</v>
      </c>
      <c r="F62" s="138"/>
      <c r="G62" s="138"/>
      <c r="H62" s="138"/>
      <c r="I62" s="138"/>
      <c r="J62" s="138"/>
      <c r="K62" s="138"/>
      <c r="L62" s="138"/>
      <c r="M62" s="138"/>
      <c r="N62" s="138"/>
      <c r="O62" s="138"/>
      <c r="P62" s="138"/>
      <c r="Q62" s="138"/>
      <c r="R62" s="138"/>
    </row>
    <row r="64" spans="1:18" x14ac:dyDescent="0.3">
      <c r="C64" s="20">
        <f>C6</f>
        <v>3000</v>
      </c>
      <c r="D64" t="s">
        <v>66</v>
      </c>
      <c r="E64" s="30" t="s">
        <v>67</v>
      </c>
    </row>
    <row r="67" spans="1:18" x14ac:dyDescent="0.3">
      <c r="D67" s="34"/>
      <c r="E67" s="34"/>
      <c r="F67" s="34"/>
      <c r="G67" s="34"/>
    </row>
    <row r="68" spans="1:18" x14ac:dyDescent="0.3">
      <c r="A68" s="113"/>
      <c r="C68" s="35" t="s">
        <v>68</v>
      </c>
      <c r="D68" s="34" t="s">
        <v>133</v>
      </c>
      <c r="E68" s="34"/>
      <c r="F68" s="34"/>
      <c r="G68" s="34"/>
    </row>
    <row r="69" spans="1:18" s="117" customFormat="1" x14ac:dyDescent="0.3">
      <c r="A69" s="116"/>
      <c r="C69" s="118">
        <v>2221</v>
      </c>
      <c r="D69" s="34">
        <v>39388</v>
      </c>
      <c r="E69" s="34"/>
      <c r="F69" s="34"/>
      <c r="G69" s="34"/>
    </row>
    <row r="70" spans="1:18" x14ac:dyDescent="0.3">
      <c r="A70" s="113"/>
      <c r="C70">
        <v>2222</v>
      </c>
      <c r="D70" s="18">
        <v>7000</v>
      </c>
      <c r="E70" s="109" t="s">
        <v>135</v>
      </c>
      <c r="F70" s="36"/>
    </row>
    <row r="71" spans="1:18" x14ac:dyDescent="0.3">
      <c r="A71" s="113"/>
      <c r="C71">
        <v>2223</v>
      </c>
      <c r="D71" s="37">
        <v>15000</v>
      </c>
      <c r="E71" s="109" t="s">
        <v>136</v>
      </c>
    </row>
    <row r="72" spans="1:18" x14ac:dyDescent="0.3">
      <c r="A72" s="113"/>
      <c r="B72" s="104"/>
      <c r="C72" s="104">
        <v>2224</v>
      </c>
      <c r="D72" s="105">
        <v>2000</v>
      </c>
      <c r="E72" s="106" t="s">
        <v>137</v>
      </c>
      <c r="F72" s="105"/>
      <c r="G72" s="104"/>
      <c r="H72" s="104"/>
      <c r="I72" s="104"/>
      <c r="J72" s="104"/>
      <c r="K72" s="104"/>
      <c r="L72" s="104"/>
      <c r="M72" s="104"/>
      <c r="N72" s="104"/>
      <c r="O72" s="104"/>
      <c r="P72" s="104"/>
      <c r="Q72" s="104"/>
      <c r="R72" s="104"/>
    </row>
    <row r="73" spans="1:18" x14ac:dyDescent="0.3">
      <c r="A73" s="113"/>
      <c r="B73" s="104"/>
      <c r="C73" s="104">
        <v>2239</v>
      </c>
      <c r="D73" s="105"/>
      <c r="E73" s="106"/>
      <c r="F73" s="104"/>
      <c r="G73" s="104"/>
      <c r="H73" s="104"/>
      <c r="I73" s="104"/>
      <c r="J73" s="104"/>
      <c r="K73" s="104"/>
      <c r="L73" s="104">
        <v>10</v>
      </c>
      <c r="M73" s="104"/>
      <c r="N73" s="104"/>
      <c r="O73" s="104"/>
      <c r="P73" s="104"/>
      <c r="Q73" s="104"/>
      <c r="R73" s="104"/>
    </row>
    <row r="74" spans="1:18" x14ac:dyDescent="0.3">
      <c r="A74" s="113"/>
      <c r="B74" s="38"/>
      <c r="C74" s="38">
        <v>2241</v>
      </c>
      <c r="D74" s="39"/>
      <c r="E74" s="40"/>
      <c r="F74" s="38"/>
      <c r="G74" s="38"/>
    </row>
    <row r="75" spans="1:18" x14ac:dyDescent="0.3">
      <c r="A75" s="113"/>
      <c r="C75">
        <v>2243</v>
      </c>
      <c r="D75" s="37">
        <f>600+9928</f>
        <v>10528</v>
      </c>
      <c r="E75" s="109" t="s">
        <v>69</v>
      </c>
      <c r="F75" s="37"/>
    </row>
    <row r="76" spans="1:18" x14ac:dyDescent="0.3">
      <c r="A76" s="113"/>
      <c r="C76">
        <v>2244</v>
      </c>
      <c r="D76" s="37">
        <f>1226</f>
        <v>1226</v>
      </c>
      <c r="E76" s="109" t="s">
        <v>70</v>
      </c>
      <c r="F76" s="37"/>
    </row>
    <row r="77" spans="1:18" x14ac:dyDescent="0.3">
      <c r="A77" s="113"/>
      <c r="C77">
        <v>2247</v>
      </c>
      <c r="D77" s="37"/>
      <c r="E77" s="109"/>
    </row>
    <row r="78" spans="1:18" x14ac:dyDescent="0.3">
      <c r="A78" s="113"/>
      <c r="C78">
        <v>2264</v>
      </c>
      <c r="D78" s="37">
        <f>271</f>
        <v>271</v>
      </c>
      <c r="E78" s="109"/>
      <c r="F78" s="37"/>
    </row>
    <row r="79" spans="1:18" x14ac:dyDescent="0.3">
      <c r="A79" s="113"/>
      <c r="C79">
        <v>2312</v>
      </c>
      <c r="D79" s="37">
        <v>4400</v>
      </c>
      <c r="E79" s="111"/>
      <c r="F79" s="37"/>
    </row>
    <row r="80" spans="1:18" x14ac:dyDescent="0.3">
      <c r="A80" s="113"/>
      <c r="C80">
        <v>2329</v>
      </c>
      <c r="D80" s="37">
        <v>500</v>
      </c>
      <c r="E80" s="111"/>
      <c r="F80" s="37"/>
    </row>
    <row r="81" spans="1:8" x14ac:dyDescent="0.3">
      <c r="A81" s="113"/>
      <c r="C81">
        <v>2321</v>
      </c>
      <c r="D81" s="37">
        <v>0</v>
      </c>
      <c r="E81" s="109" t="s">
        <v>71</v>
      </c>
    </row>
    <row r="82" spans="1:8" x14ac:dyDescent="0.3">
      <c r="A82" s="113"/>
      <c r="C82">
        <v>2341</v>
      </c>
      <c r="D82" s="37">
        <f>400+1960</f>
        <v>2360</v>
      </c>
      <c r="E82" s="109" t="s">
        <v>72</v>
      </c>
      <c r="F82" s="37"/>
    </row>
    <row r="83" spans="1:8" x14ac:dyDescent="0.3">
      <c r="A83" s="113"/>
      <c r="C83">
        <v>2350</v>
      </c>
      <c r="D83" s="37">
        <v>16900</v>
      </c>
      <c r="E83" s="109" t="s">
        <v>73</v>
      </c>
    </row>
    <row r="84" spans="1:8" x14ac:dyDescent="0.3">
      <c r="A84" s="113"/>
      <c r="B84" s="41" t="s">
        <v>74</v>
      </c>
      <c r="C84" s="41"/>
      <c r="D84" s="42">
        <f>SUM(D69:D83)</f>
        <v>99573</v>
      </c>
      <c r="E84" s="136"/>
      <c r="F84" s="136"/>
      <c r="G84" s="136"/>
      <c r="H84" s="136"/>
    </row>
    <row r="85" spans="1:8" x14ac:dyDescent="0.3">
      <c r="A85" s="113"/>
      <c r="D85" s="43"/>
      <c r="E85" s="136"/>
      <c r="F85" s="136"/>
      <c r="G85" s="136"/>
      <c r="H85" s="136"/>
    </row>
    <row r="86" spans="1:8" x14ac:dyDescent="0.3">
      <c r="A86" s="113"/>
      <c r="D86" s="45">
        <v>37308</v>
      </c>
      <c r="E86" s="125" t="s">
        <v>175</v>
      </c>
      <c r="F86" s="109"/>
      <c r="G86" s="109"/>
      <c r="H86" s="109"/>
    </row>
    <row r="87" spans="1:8" x14ac:dyDescent="0.3">
      <c r="A87" s="113"/>
      <c r="B87" s="41" t="s">
        <v>75</v>
      </c>
      <c r="C87" s="41"/>
      <c r="D87" s="42">
        <f>SUM(D86:D86)</f>
        <v>37308</v>
      </c>
      <c r="E87" s="109"/>
      <c r="F87" s="109"/>
      <c r="G87" s="109"/>
      <c r="H87" s="109"/>
    </row>
    <row r="88" spans="1:8" x14ac:dyDescent="0.3">
      <c r="A88" s="113"/>
      <c r="D88" s="43"/>
      <c r="E88" s="109"/>
      <c r="F88" s="109"/>
      <c r="G88" s="109"/>
      <c r="H88" s="109"/>
    </row>
    <row r="89" spans="1:8" x14ac:dyDescent="0.3">
      <c r="A89" s="113"/>
      <c r="C89">
        <v>2263</v>
      </c>
      <c r="D89" s="44"/>
      <c r="E89" s="125" t="s">
        <v>89</v>
      </c>
      <c r="F89" s="109"/>
      <c r="G89" s="109"/>
      <c r="H89" s="109"/>
    </row>
    <row r="90" spans="1:8" x14ac:dyDescent="0.3">
      <c r="A90" s="113"/>
      <c r="B90" s="41" t="s">
        <v>85</v>
      </c>
      <c r="C90" s="41"/>
      <c r="D90" s="42">
        <f>SUM(D89:D89)</f>
        <v>0</v>
      </c>
      <c r="E90" s="109"/>
      <c r="F90" s="109"/>
      <c r="G90" s="109"/>
      <c r="H90" s="109"/>
    </row>
    <row r="91" spans="1:8" x14ac:dyDescent="0.3">
      <c r="A91" s="113"/>
      <c r="D91" s="43"/>
      <c r="E91" s="109"/>
      <c r="F91" s="109"/>
      <c r="G91" s="109"/>
      <c r="H91" s="109"/>
    </row>
    <row r="92" spans="1:8" x14ac:dyDescent="0.3">
      <c r="A92" s="113"/>
      <c r="D92" s="45">
        <v>21240</v>
      </c>
      <c r="E92" s="125" t="s">
        <v>76</v>
      </c>
    </row>
    <row r="93" spans="1:8" x14ac:dyDescent="0.3">
      <c r="A93" s="113"/>
      <c r="C93">
        <v>2210</v>
      </c>
      <c r="D93" s="103">
        <f>50+1652</f>
        <v>1702</v>
      </c>
      <c r="E93" s="109" t="s">
        <v>134</v>
      </c>
    </row>
    <row r="94" spans="1:8" x14ac:dyDescent="0.3">
      <c r="A94" s="113"/>
      <c r="C94">
        <v>2264</v>
      </c>
      <c r="D94" s="103">
        <v>500</v>
      </c>
      <c r="E94" s="111"/>
    </row>
    <row r="95" spans="1:8" x14ac:dyDescent="0.3">
      <c r="A95" s="113"/>
      <c r="C95">
        <v>2234</v>
      </c>
      <c r="D95" s="103">
        <v>525</v>
      </c>
      <c r="E95" s="109" t="s">
        <v>78</v>
      </c>
    </row>
    <row r="96" spans="1:8" x14ac:dyDescent="0.3">
      <c r="A96" s="113"/>
      <c r="C96">
        <v>2311</v>
      </c>
      <c r="D96" s="103"/>
      <c r="E96" s="109" t="s">
        <v>79</v>
      </c>
    </row>
    <row r="97" spans="1:5" x14ac:dyDescent="0.3">
      <c r="A97" s="113"/>
      <c r="C97">
        <v>2312</v>
      </c>
      <c r="D97" s="103"/>
      <c r="E97" s="109" t="s">
        <v>80</v>
      </c>
    </row>
    <row r="98" spans="1:5" x14ac:dyDescent="0.3">
      <c r="A98" s="113"/>
      <c r="C98">
        <v>2322</v>
      </c>
      <c r="D98" s="103">
        <f>450+300</f>
        <v>750</v>
      </c>
      <c r="E98" s="109" t="s">
        <v>81</v>
      </c>
    </row>
    <row r="99" spans="1:5" x14ac:dyDescent="0.3">
      <c r="A99" s="113"/>
      <c r="C99">
        <v>2390</v>
      </c>
      <c r="D99" s="103"/>
    </row>
    <row r="100" spans="1:5" x14ac:dyDescent="0.3">
      <c r="A100" s="113"/>
      <c r="B100" s="41" t="s">
        <v>82</v>
      </c>
      <c r="C100" s="41"/>
      <c r="D100" s="42">
        <f>SUM(D92:D99)</f>
        <v>24717</v>
      </c>
    </row>
    <row r="101" spans="1:5" x14ac:dyDescent="0.3">
      <c r="A101" s="113"/>
    </row>
    <row r="102" spans="1:5" ht="28.8" x14ac:dyDescent="0.3">
      <c r="A102" s="113"/>
      <c r="D102" s="46" t="s">
        <v>83</v>
      </c>
    </row>
    <row r="103" spans="1:5" x14ac:dyDescent="0.3">
      <c r="A103" s="113"/>
      <c r="D103">
        <v>17979.560000000001</v>
      </c>
    </row>
    <row r="104" spans="1:5" x14ac:dyDescent="0.3">
      <c r="A104" s="113"/>
      <c r="D104" s="47">
        <f>SUM(D103:D103)</f>
        <v>17979.560000000001</v>
      </c>
    </row>
  </sheetData>
  <mergeCells count="6">
    <mergeCell ref="E85:H85"/>
    <mergeCell ref="F3:F4"/>
    <mergeCell ref="D54:R54"/>
    <mergeCell ref="E60:R60"/>
    <mergeCell ref="E62:R62"/>
    <mergeCell ref="E84:H8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4"/>
  <sheetViews>
    <sheetView zoomScale="85" zoomScaleNormal="85" workbookViewId="0">
      <selection activeCell="H96" sqref="H96"/>
    </sheetView>
  </sheetViews>
  <sheetFormatPr defaultRowHeight="14.4" x14ac:dyDescent="0.3"/>
  <sheetData>
    <row r="1" spans="2:16" x14ac:dyDescent="0.3">
      <c r="B1" s="1" t="s">
        <v>0</v>
      </c>
    </row>
    <row r="2" spans="2:16" x14ac:dyDescent="0.3">
      <c r="D2" s="2"/>
      <c r="E2" s="2"/>
      <c r="F2" s="2"/>
      <c r="L2" s="3" t="s">
        <v>1</v>
      </c>
      <c r="M2" s="4" t="s">
        <v>2</v>
      </c>
      <c r="N2" t="s">
        <v>3</v>
      </c>
      <c r="P2" s="5"/>
    </row>
    <row r="3" spans="2:16" ht="15" thickBot="1" x14ac:dyDescent="0.35">
      <c r="C3" s="6">
        <f>((B14/C6+C10)*C8+C12)/12</f>
        <v>180.56448952727055</v>
      </c>
      <c r="D3" s="7" t="s">
        <v>4</v>
      </c>
      <c r="E3" s="8" t="s">
        <v>5</v>
      </c>
      <c r="F3" s="137" t="s">
        <v>6</v>
      </c>
      <c r="I3" s="9" t="s">
        <v>7</v>
      </c>
      <c r="J3" s="10">
        <f>C3/C8</f>
        <v>4.4040119396895259</v>
      </c>
      <c r="L3" s="11">
        <f>J3*C8</f>
        <v>180.56448952727055</v>
      </c>
      <c r="M3" s="12">
        <f>L3/20</f>
        <v>9.028224476363528</v>
      </c>
      <c r="N3" s="13">
        <f>M3/3</f>
        <v>3.0094081587878425</v>
      </c>
      <c r="P3" s="5"/>
    </row>
    <row r="4" spans="2:16" x14ac:dyDescent="0.3">
      <c r="C4" s="9" t="s">
        <v>8</v>
      </c>
      <c r="D4" s="7"/>
      <c r="E4" s="14">
        <v>12</v>
      </c>
      <c r="F4" s="137"/>
      <c r="I4" s="9" t="s">
        <v>9</v>
      </c>
      <c r="J4" s="15">
        <f>J3*1.21</f>
        <v>5.3288544470243258</v>
      </c>
      <c r="L4" s="11">
        <f>J4*C8</f>
        <v>218.48303232799736</v>
      </c>
      <c r="M4" s="12">
        <f>L4/20</f>
        <v>10.924151616399868</v>
      </c>
      <c r="N4" s="13">
        <f>M4/3</f>
        <v>3.6413838721332894</v>
      </c>
      <c r="P4" s="5"/>
    </row>
    <row r="5" spans="2:16" x14ac:dyDescent="0.3">
      <c r="D5" s="2"/>
      <c r="E5" s="2"/>
      <c r="F5" s="2"/>
      <c r="L5" s="13"/>
      <c r="P5" s="5"/>
    </row>
    <row r="6" spans="2:16" x14ac:dyDescent="0.3">
      <c r="C6" s="16">
        <v>3000</v>
      </c>
      <c r="D6" t="s">
        <v>10</v>
      </c>
      <c r="E6" s="17" t="s">
        <v>11</v>
      </c>
      <c r="P6" s="5"/>
    </row>
    <row r="7" spans="2:16" x14ac:dyDescent="0.3">
      <c r="C7" s="18"/>
      <c r="E7" s="17"/>
      <c r="P7" s="5"/>
    </row>
    <row r="8" spans="2:16" x14ac:dyDescent="0.3">
      <c r="B8" s="19">
        <f>C8/C6</f>
        <v>1.3666666666666667E-2</v>
      </c>
      <c r="C8" s="20">
        <v>41</v>
      </c>
      <c r="D8" t="s">
        <v>12</v>
      </c>
      <c r="E8" s="21" t="s">
        <v>13</v>
      </c>
      <c r="F8" s="21"/>
      <c r="M8" s="13"/>
    </row>
    <row r="9" spans="2:16" x14ac:dyDescent="0.3">
      <c r="C9" s="18"/>
      <c r="E9" s="17"/>
    </row>
    <row r="10" spans="2:16" x14ac:dyDescent="0.3">
      <c r="C10" s="107">
        <f>B54</f>
        <v>0.54502978033934923</v>
      </c>
      <c r="D10" t="s">
        <v>14</v>
      </c>
      <c r="E10" s="21" t="s">
        <v>15</v>
      </c>
    </row>
    <row r="11" spans="2:16" x14ac:dyDescent="0.3">
      <c r="D11" s="21"/>
    </row>
    <row r="12" spans="2:16" x14ac:dyDescent="0.3">
      <c r="C12" s="22">
        <v>28</v>
      </c>
      <c r="D12" s="23" t="s">
        <v>16</v>
      </c>
      <c r="E12" s="24" t="s">
        <v>17</v>
      </c>
    </row>
    <row r="13" spans="2:16" x14ac:dyDescent="0.3">
      <c r="D13" s="21"/>
    </row>
    <row r="14" spans="2:16" x14ac:dyDescent="0.3">
      <c r="B14" s="20">
        <f>C23+C34+C36+C40+C41+C43</f>
        <v>154860.56</v>
      </c>
      <c r="C14" t="s">
        <v>18</v>
      </c>
      <c r="D14" t="s">
        <v>19</v>
      </c>
    </row>
    <row r="16" spans="2:16" x14ac:dyDescent="0.3">
      <c r="E16" s="17" t="s">
        <v>20</v>
      </c>
    </row>
    <row r="17" spans="3:9" x14ac:dyDescent="0.3">
      <c r="E17" s="25"/>
    </row>
    <row r="18" spans="3:9" x14ac:dyDescent="0.3">
      <c r="E18" t="s">
        <v>21</v>
      </c>
      <c r="I18" t="s">
        <v>21</v>
      </c>
    </row>
    <row r="19" spans="3:9" x14ac:dyDescent="0.3">
      <c r="E19" s="26"/>
    </row>
    <row r="20" spans="3:9" x14ac:dyDescent="0.3">
      <c r="E20" s="27" t="s">
        <v>22</v>
      </c>
    </row>
    <row r="23" spans="3:9" x14ac:dyDescent="0.3">
      <c r="C23" s="20">
        <f>D84+D87</f>
        <v>136881</v>
      </c>
      <c r="D23" t="s">
        <v>23</v>
      </c>
      <c r="E23" t="s">
        <v>24</v>
      </c>
    </row>
    <row r="24" spans="3:9" x14ac:dyDescent="0.3">
      <c r="C24" s="18"/>
      <c r="E24" t="s">
        <v>25</v>
      </c>
    </row>
    <row r="25" spans="3:9" x14ac:dyDescent="0.3">
      <c r="C25" s="18"/>
      <c r="E25" t="s">
        <v>26</v>
      </c>
    </row>
    <row r="26" spans="3:9" x14ac:dyDescent="0.3">
      <c r="C26" s="18"/>
      <c r="E26" t="s">
        <v>27</v>
      </c>
    </row>
    <row r="27" spans="3:9" x14ac:dyDescent="0.3">
      <c r="C27" s="18"/>
      <c r="E27" t="s">
        <v>28</v>
      </c>
    </row>
    <row r="28" spans="3:9" x14ac:dyDescent="0.3">
      <c r="C28" s="18"/>
      <c r="E28" t="s">
        <v>29</v>
      </c>
    </row>
    <row r="29" spans="3:9" x14ac:dyDescent="0.3">
      <c r="C29" s="18"/>
      <c r="E29" t="s">
        <v>30</v>
      </c>
    </row>
    <row r="30" spans="3:9" x14ac:dyDescent="0.3">
      <c r="C30" s="18"/>
      <c r="E30" t="s">
        <v>31</v>
      </c>
    </row>
    <row r="31" spans="3:9" x14ac:dyDescent="0.3">
      <c r="C31" s="18"/>
      <c r="E31" t="s">
        <v>32</v>
      </c>
    </row>
    <row r="32" spans="3:9" x14ac:dyDescent="0.3">
      <c r="C32" s="18"/>
      <c r="E32" t="s">
        <v>33</v>
      </c>
    </row>
    <row r="33" spans="2:18" x14ac:dyDescent="0.3">
      <c r="C33" s="18"/>
      <c r="E33" t="s">
        <v>34</v>
      </c>
    </row>
    <row r="34" spans="2:18" x14ac:dyDescent="0.3">
      <c r="C34" s="20">
        <f>D104</f>
        <v>17979.560000000001</v>
      </c>
      <c r="D34" t="s">
        <v>35</v>
      </c>
      <c r="E34" t="s">
        <v>36</v>
      </c>
    </row>
    <row r="35" spans="2:18" x14ac:dyDescent="0.3">
      <c r="C35" s="18"/>
      <c r="E35" t="s">
        <v>37</v>
      </c>
    </row>
    <row r="36" spans="2:18" x14ac:dyDescent="0.3">
      <c r="B36" t="s">
        <v>132</v>
      </c>
      <c r="C36" s="20"/>
      <c r="D36" t="s">
        <v>38</v>
      </c>
      <c r="E36" t="s">
        <v>39</v>
      </c>
    </row>
    <row r="37" spans="2:18" x14ac:dyDescent="0.3">
      <c r="C37" s="18"/>
      <c r="E37" t="s">
        <v>40</v>
      </c>
    </row>
    <row r="38" spans="2:18" x14ac:dyDescent="0.3">
      <c r="C38" s="18"/>
      <c r="E38" t="s">
        <v>41</v>
      </c>
    </row>
    <row r="39" spans="2:18" x14ac:dyDescent="0.3">
      <c r="C39" s="18"/>
      <c r="E39" t="s">
        <v>42</v>
      </c>
    </row>
    <row r="40" spans="2:18" x14ac:dyDescent="0.3">
      <c r="C40" s="20">
        <f>D90</f>
        <v>0</v>
      </c>
      <c r="D40" t="s">
        <v>43</v>
      </c>
      <c r="E40" t="s">
        <v>44</v>
      </c>
    </row>
    <row r="41" spans="2:18" x14ac:dyDescent="0.3">
      <c r="C41" s="20"/>
      <c r="D41" t="s">
        <v>45</v>
      </c>
      <c r="E41" t="s">
        <v>46</v>
      </c>
    </row>
    <row r="42" spans="2:18" x14ac:dyDescent="0.3">
      <c r="C42" s="20">
        <f>E106</f>
        <v>0</v>
      </c>
      <c r="D42" t="s">
        <v>47</v>
      </c>
      <c r="E42" t="s">
        <v>48</v>
      </c>
    </row>
    <row r="43" spans="2:18" x14ac:dyDescent="0.3">
      <c r="B43" s="2"/>
      <c r="C43" s="28"/>
      <c r="D43" s="2"/>
      <c r="E43" s="2" t="s">
        <v>49</v>
      </c>
      <c r="F43" s="2"/>
      <c r="G43" s="2"/>
      <c r="H43" s="2"/>
      <c r="I43" s="2"/>
      <c r="J43" s="2"/>
      <c r="K43" s="2"/>
      <c r="L43" s="2"/>
      <c r="M43" s="2"/>
      <c r="N43" s="2"/>
      <c r="O43" s="2"/>
      <c r="P43" s="2"/>
      <c r="Q43" s="2"/>
      <c r="R43" s="2"/>
    </row>
    <row r="44" spans="2:18" x14ac:dyDescent="0.3">
      <c r="B44" s="2"/>
      <c r="C44" s="28"/>
      <c r="D44" s="2"/>
      <c r="E44" s="2" t="s">
        <v>50</v>
      </c>
      <c r="F44" s="2"/>
      <c r="G44" s="2"/>
      <c r="H44" s="2"/>
      <c r="I44" s="2"/>
      <c r="J44" s="2"/>
      <c r="K44" s="2"/>
      <c r="L44" s="2"/>
      <c r="M44" s="2"/>
      <c r="N44" s="2"/>
      <c r="O44" s="2"/>
      <c r="P44" s="2"/>
      <c r="Q44" s="2"/>
      <c r="R44" s="2"/>
    </row>
    <row r="45" spans="2:18" x14ac:dyDescent="0.3">
      <c r="E45" s="2" t="s">
        <v>51</v>
      </c>
    </row>
    <row r="46" spans="2:18" x14ac:dyDescent="0.3">
      <c r="E46" s="2" t="s">
        <v>52</v>
      </c>
    </row>
    <row r="47" spans="2:18" x14ac:dyDescent="0.3">
      <c r="E47" s="2" t="s">
        <v>53</v>
      </c>
    </row>
    <row r="48" spans="2:18" x14ac:dyDescent="0.3">
      <c r="E48" s="2" t="s">
        <v>54</v>
      </c>
    </row>
    <row r="49" spans="1:18" x14ac:dyDescent="0.3">
      <c r="E49" s="2" t="s">
        <v>55</v>
      </c>
    </row>
    <row r="50" spans="1:18" x14ac:dyDescent="0.3">
      <c r="C50" s="20"/>
      <c r="D50" t="s">
        <v>56</v>
      </c>
      <c r="E50" s="2" t="s">
        <v>57</v>
      </c>
    </row>
    <row r="51" spans="1:18" x14ac:dyDescent="0.3">
      <c r="E51" s="2" t="s">
        <v>58</v>
      </c>
    </row>
    <row r="54" spans="1:18" x14ac:dyDescent="0.3">
      <c r="B54" s="29">
        <f>C60*C62/C64</f>
        <v>0.54502978033934923</v>
      </c>
      <c r="C54" t="s">
        <v>14</v>
      </c>
      <c r="D54" s="138" t="s">
        <v>59</v>
      </c>
      <c r="E54" s="138"/>
      <c r="F54" s="138"/>
      <c r="G54" s="138"/>
      <c r="H54" s="138"/>
      <c r="I54" s="138"/>
      <c r="J54" s="138"/>
      <c r="K54" s="138"/>
      <c r="L54" s="138"/>
      <c r="M54" s="138"/>
      <c r="N54" s="138"/>
      <c r="O54" s="138"/>
      <c r="P54" s="138"/>
      <c r="Q54" s="138"/>
      <c r="R54" s="138"/>
    </row>
    <row r="56" spans="1:18" x14ac:dyDescent="0.3">
      <c r="F56" s="30" t="s">
        <v>60</v>
      </c>
    </row>
    <row r="58" spans="1:18" x14ac:dyDescent="0.3">
      <c r="F58" s="30" t="s">
        <v>61</v>
      </c>
    </row>
    <row r="60" spans="1:18" x14ac:dyDescent="0.3">
      <c r="C60" s="31">
        <f>D100</f>
        <v>24717</v>
      </c>
      <c r="D60" t="s">
        <v>62</v>
      </c>
      <c r="E60" s="138" t="s">
        <v>63</v>
      </c>
      <c r="F60" s="138"/>
      <c r="G60" s="138"/>
      <c r="H60" s="138"/>
      <c r="I60" s="138"/>
      <c r="J60" s="138"/>
      <c r="K60" s="138"/>
      <c r="L60" s="138"/>
      <c r="M60" s="138"/>
      <c r="N60" s="138"/>
      <c r="O60" s="138"/>
      <c r="P60" s="138"/>
      <c r="Q60" s="138"/>
      <c r="R60" s="138"/>
    </row>
    <row r="61" spans="1:18" x14ac:dyDescent="0.3">
      <c r="B61" s="2"/>
      <c r="C61" s="2"/>
      <c r="D61" s="2"/>
      <c r="E61" s="32"/>
      <c r="F61" s="32"/>
      <c r="G61" s="32"/>
      <c r="H61" s="32"/>
      <c r="I61" s="32"/>
      <c r="J61" s="32"/>
      <c r="K61" s="32"/>
      <c r="L61" s="32"/>
      <c r="M61" s="32"/>
      <c r="N61" s="32"/>
      <c r="O61" s="32"/>
      <c r="P61" s="32"/>
      <c r="Q61" s="32"/>
      <c r="R61" s="32"/>
    </row>
    <row r="62" spans="1:18" x14ac:dyDescent="0.3">
      <c r="A62" s="113"/>
      <c r="C62" s="33">
        <f>(D92+D86)/(807927+77120)</f>
        <v>6.6152419024074427E-2</v>
      </c>
      <c r="D62" t="s">
        <v>64</v>
      </c>
      <c r="E62" s="138" t="s">
        <v>65</v>
      </c>
      <c r="F62" s="138"/>
      <c r="G62" s="138"/>
      <c r="H62" s="138"/>
      <c r="I62" s="138"/>
      <c r="J62" s="138"/>
      <c r="K62" s="138"/>
      <c r="L62" s="138"/>
      <c r="M62" s="138"/>
      <c r="N62" s="138"/>
      <c r="O62" s="138"/>
      <c r="P62" s="138"/>
      <c r="Q62" s="138"/>
      <c r="R62" s="138"/>
    </row>
    <row r="64" spans="1:18" x14ac:dyDescent="0.3">
      <c r="C64" s="20">
        <f>C6</f>
        <v>3000</v>
      </c>
      <c r="D64" t="s">
        <v>66</v>
      </c>
      <c r="E64" s="30" t="s">
        <v>67</v>
      </c>
    </row>
    <row r="67" spans="1:18" x14ac:dyDescent="0.3">
      <c r="D67" s="34"/>
      <c r="E67" s="34"/>
      <c r="F67" s="34"/>
      <c r="G67" s="34"/>
    </row>
    <row r="68" spans="1:18" x14ac:dyDescent="0.3">
      <c r="A68" s="113"/>
      <c r="C68" s="35" t="s">
        <v>68</v>
      </c>
      <c r="D68" s="34" t="s">
        <v>133</v>
      </c>
      <c r="E68" s="34"/>
      <c r="F68" s="34"/>
      <c r="G68" s="34"/>
    </row>
    <row r="69" spans="1:18" x14ac:dyDescent="0.3">
      <c r="A69" s="113"/>
      <c r="C69">
        <v>2221</v>
      </c>
      <c r="D69" s="18">
        <v>39388</v>
      </c>
      <c r="E69" s="34"/>
      <c r="F69" s="34"/>
      <c r="G69" s="34"/>
    </row>
    <row r="70" spans="1:18" x14ac:dyDescent="0.3">
      <c r="A70" s="113"/>
      <c r="C70">
        <v>2222</v>
      </c>
      <c r="D70" s="18">
        <v>7000</v>
      </c>
      <c r="E70" s="112" t="s">
        <v>135</v>
      </c>
      <c r="F70" s="36"/>
    </row>
    <row r="71" spans="1:18" x14ac:dyDescent="0.3">
      <c r="A71" s="113"/>
      <c r="C71">
        <v>2223</v>
      </c>
      <c r="D71" s="37">
        <v>15000</v>
      </c>
      <c r="E71" s="112" t="s">
        <v>136</v>
      </c>
    </row>
    <row r="72" spans="1:18" x14ac:dyDescent="0.3">
      <c r="A72" s="113"/>
      <c r="B72" s="104"/>
      <c r="C72" s="104">
        <v>2224</v>
      </c>
      <c r="D72" s="105">
        <v>2000</v>
      </c>
      <c r="E72" s="106" t="s">
        <v>137</v>
      </c>
      <c r="F72" s="105"/>
      <c r="G72" s="104"/>
      <c r="H72" s="104"/>
      <c r="I72" s="104"/>
      <c r="J72" s="104"/>
      <c r="K72" s="104"/>
      <c r="L72" s="104"/>
      <c r="M72" s="104"/>
      <c r="N72" s="104"/>
      <c r="O72" s="104"/>
      <c r="P72" s="104"/>
      <c r="Q72" s="104"/>
      <c r="R72" s="104"/>
    </row>
    <row r="73" spans="1:18" x14ac:dyDescent="0.3">
      <c r="A73" s="113"/>
      <c r="B73" s="104"/>
      <c r="C73" s="104">
        <v>2239</v>
      </c>
      <c r="D73" s="105"/>
      <c r="E73" s="106"/>
      <c r="F73" s="104"/>
      <c r="G73" s="104"/>
      <c r="H73" s="104"/>
      <c r="I73" s="104"/>
      <c r="J73" s="104"/>
      <c r="K73" s="104"/>
      <c r="L73" s="104">
        <v>10</v>
      </c>
      <c r="M73" s="104"/>
      <c r="N73" s="104"/>
      <c r="O73" s="104"/>
      <c r="P73" s="104"/>
      <c r="Q73" s="104"/>
      <c r="R73" s="104"/>
    </row>
    <row r="74" spans="1:18" x14ac:dyDescent="0.3">
      <c r="A74" s="113"/>
      <c r="B74" s="38"/>
      <c r="C74" s="38">
        <v>2241</v>
      </c>
      <c r="D74" s="39"/>
      <c r="E74" s="40"/>
      <c r="F74" s="38"/>
      <c r="G74" s="38"/>
    </row>
    <row r="75" spans="1:18" x14ac:dyDescent="0.3">
      <c r="A75" s="113"/>
      <c r="C75">
        <v>2243</v>
      </c>
      <c r="D75" s="37">
        <f>600+9928</f>
        <v>10528</v>
      </c>
      <c r="E75" s="112" t="s">
        <v>69</v>
      </c>
      <c r="F75" s="37"/>
    </row>
    <row r="76" spans="1:18" x14ac:dyDescent="0.3">
      <c r="A76" s="113"/>
      <c r="C76">
        <v>2244</v>
      </c>
      <c r="D76" s="37">
        <f>1226</f>
        <v>1226</v>
      </c>
      <c r="E76" s="112" t="s">
        <v>70</v>
      </c>
      <c r="F76" s="37"/>
    </row>
    <row r="77" spans="1:18" x14ac:dyDescent="0.3">
      <c r="A77" s="113"/>
      <c r="C77">
        <v>2247</v>
      </c>
      <c r="D77" s="37"/>
      <c r="E77" s="112"/>
    </row>
    <row r="78" spans="1:18" x14ac:dyDescent="0.3">
      <c r="A78" s="113"/>
      <c r="C78">
        <v>2264</v>
      </c>
      <c r="D78" s="37">
        <f>271</f>
        <v>271</v>
      </c>
      <c r="E78" s="112"/>
      <c r="F78" s="37"/>
    </row>
    <row r="79" spans="1:18" x14ac:dyDescent="0.3">
      <c r="A79" s="113"/>
      <c r="C79">
        <v>2312</v>
      </c>
      <c r="D79" s="37">
        <v>4400</v>
      </c>
      <c r="E79" s="112"/>
      <c r="F79" s="37"/>
    </row>
    <row r="80" spans="1:18" x14ac:dyDescent="0.3">
      <c r="A80" s="113"/>
      <c r="C80">
        <v>2329</v>
      </c>
      <c r="D80" s="37">
        <v>500</v>
      </c>
      <c r="E80" s="112"/>
      <c r="F80" s="37"/>
    </row>
    <row r="81" spans="1:8" x14ac:dyDescent="0.3">
      <c r="A81" s="113"/>
      <c r="C81">
        <v>2321</v>
      </c>
      <c r="D81" s="37">
        <v>0</v>
      </c>
      <c r="E81" s="112" t="s">
        <v>71</v>
      </c>
    </row>
    <row r="82" spans="1:8" x14ac:dyDescent="0.3">
      <c r="A82" s="113"/>
      <c r="C82">
        <v>2341</v>
      </c>
      <c r="D82" s="37">
        <f>400+1960</f>
        <v>2360</v>
      </c>
      <c r="E82" s="112" t="s">
        <v>72</v>
      </c>
      <c r="F82" s="37"/>
    </row>
    <row r="83" spans="1:8" x14ac:dyDescent="0.3">
      <c r="A83" s="113"/>
      <c r="C83">
        <v>2350</v>
      </c>
      <c r="D83" s="37">
        <v>16900</v>
      </c>
      <c r="E83" s="112" t="s">
        <v>73</v>
      </c>
    </row>
    <row r="84" spans="1:8" x14ac:dyDescent="0.3">
      <c r="A84" s="113"/>
      <c r="B84" s="41" t="s">
        <v>74</v>
      </c>
      <c r="C84" s="41"/>
      <c r="D84" s="42">
        <f>SUM(D69:D83)</f>
        <v>99573</v>
      </c>
      <c r="E84" s="136"/>
      <c r="F84" s="136"/>
      <c r="G84" s="136"/>
      <c r="H84" s="136"/>
    </row>
    <row r="85" spans="1:8" x14ac:dyDescent="0.3">
      <c r="A85" s="113"/>
      <c r="D85" s="43"/>
      <c r="E85" s="136"/>
      <c r="F85" s="136"/>
      <c r="G85" s="136"/>
      <c r="H85" s="136"/>
    </row>
    <row r="86" spans="1:8" x14ac:dyDescent="0.3">
      <c r="A86" s="113"/>
      <c r="D86" s="45">
        <v>37308</v>
      </c>
      <c r="E86" s="125" t="s">
        <v>175</v>
      </c>
      <c r="F86" s="125"/>
      <c r="G86" s="125"/>
      <c r="H86" s="125"/>
    </row>
    <row r="87" spans="1:8" x14ac:dyDescent="0.3">
      <c r="A87" s="113"/>
      <c r="B87" s="41" t="s">
        <v>75</v>
      </c>
      <c r="C87" s="41"/>
      <c r="D87" s="42">
        <f>SUM(D86:D86)</f>
        <v>37308</v>
      </c>
      <c r="E87" s="112"/>
      <c r="F87" s="112"/>
      <c r="G87" s="112"/>
      <c r="H87" s="112"/>
    </row>
    <row r="88" spans="1:8" x14ac:dyDescent="0.3">
      <c r="A88" s="113"/>
      <c r="D88" s="43"/>
      <c r="E88" s="112"/>
      <c r="F88" s="112"/>
      <c r="G88" s="112"/>
      <c r="H88" s="112"/>
    </row>
    <row r="89" spans="1:8" x14ac:dyDescent="0.3">
      <c r="A89" s="113"/>
      <c r="C89">
        <v>2263</v>
      </c>
      <c r="D89" s="44"/>
      <c r="E89" s="125" t="s">
        <v>89</v>
      </c>
      <c r="F89" s="112"/>
      <c r="G89" s="112"/>
      <c r="H89" s="112"/>
    </row>
    <row r="90" spans="1:8" x14ac:dyDescent="0.3">
      <c r="A90" s="113"/>
      <c r="B90" s="41" t="s">
        <v>85</v>
      </c>
      <c r="C90" s="41"/>
      <c r="D90" s="42">
        <f>SUM(D89:D89)</f>
        <v>0</v>
      </c>
      <c r="E90" s="112"/>
      <c r="F90" s="112"/>
      <c r="G90" s="112"/>
      <c r="H90" s="112"/>
    </row>
    <row r="91" spans="1:8" x14ac:dyDescent="0.3">
      <c r="A91" s="113"/>
      <c r="D91" s="43"/>
      <c r="E91" s="112"/>
      <c r="F91" s="112"/>
      <c r="G91" s="112"/>
      <c r="H91" s="112"/>
    </row>
    <row r="92" spans="1:8" x14ac:dyDescent="0.3">
      <c r="A92" s="113"/>
      <c r="D92" s="45">
        <v>21240</v>
      </c>
      <c r="E92" s="125" t="s">
        <v>76</v>
      </c>
    </row>
    <row r="93" spans="1:8" x14ac:dyDescent="0.3">
      <c r="A93" s="113"/>
      <c r="C93">
        <v>2210</v>
      </c>
      <c r="D93" s="103">
        <f>50+1652</f>
        <v>1702</v>
      </c>
      <c r="E93" s="112" t="s">
        <v>134</v>
      </c>
    </row>
    <row r="94" spans="1:8" x14ac:dyDescent="0.3">
      <c r="A94" s="113"/>
      <c r="C94">
        <v>2264</v>
      </c>
      <c r="D94" s="103">
        <v>500</v>
      </c>
      <c r="E94" s="112"/>
    </row>
    <row r="95" spans="1:8" x14ac:dyDescent="0.3">
      <c r="A95" s="113"/>
      <c r="C95">
        <v>2234</v>
      </c>
      <c r="D95" s="103">
        <v>525</v>
      </c>
      <c r="E95" s="112" t="s">
        <v>78</v>
      </c>
    </row>
    <row r="96" spans="1:8" x14ac:dyDescent="0.3">
      <c r="A96" s="113"/>
      <c r="C96">
        <v>2311</v>
      </c>
      <c r="D96" s="103"/>
      <c r="E96" s="112" t="s">
        <v>79</v>
      </c>
    </row>
    <row r="97" spans="1:5" x14ac:dyDescent="0.3">
      <c r="A97" s="113"/>
      <c r="C97">
        <v>2312</v>
      </c>
      <c r="D97" s="103"/>
      <c r="E97" s="112" t="s">
        <v>80</v>
      </c>
    </row>
    <row r="98" spans="1:5" x14ac:dyDescent="0.3">
      <c r="A98" s="113"/>
      <c r="C98">
        <v>2322</v>
      </c>
      <c r="D98" s="103">
        <f>450+300</f>
        <v>750</v>
      </c>
      <c r="E98" s="112" t="s">
        <v>81</v>
      </c>
    </row>
    <row r="99" spans="1:5" x14ac:dyDescent="0.3">
      <c r="A99" s="113"/>
      <c r="C99">
        <v>2390</v>
      </c>
      <c r="D99" s="103"/>
    </row>
    <row r="100" spans="1:5" x14ac:dyDescent="0.3">
      <c r="A100" s="113"/>
      <c r="B100" s="41" t="s">
        <v>82</v>
      </c>
      <c r="C100" s="41"/>
      <c r="D100" s="42">
        <f>SUM(D92:D99)</f>
        <v>24717</v>
      </c>
    </row>
    <row r="101" spans="1:5" x14ac:dyDescent="0.3">
      <c r="A101" s="113"/>
    </row>
    <row r="102" spans="1:5" ht="28.8" x14ac:dyDescent="0.3">
      <c r="A102" s="113"/>
      <c r="D102" s="46" t="s">
        <v>83</v>
      </c>
    </row>
    <row r="103" spans="1:5" x14ac:dyDescent="0.3">
      <c r="A103" s="113"/>
      <c r="D103">
        <v>17979.560000000001</v>
      </c>
    </row>
    <row r="104" spans="1:5" x14ac:dyDescent="0.3">
      <c r="A104" s="113"/>
      <c r="D104" s="47">
        <f>SUM(D103:D103)</f>
        <v>17979.560000000001</v>
      </c>
    </row>
  </sheetData>
  <mergeCells count="6">
    <mergeCell ref="E85:H85"/>
    <mergeCell ref="F3:F4"/>
    <mergeCell ref="D54:R54"/>
    <mergeCell ref="E60:R60"/>
    <mergeCell ref="E62:R62"/>
    <mergeCell ref="E84:H8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4"/>
  <sheetViews>
    <sheetView workbookViewId="0">
      <selection activeCell="K23" sqref="K23"/>
    </sheetView>
  </sheetViews>
  <sheetFormatPr defaultRowHeight="14.4" x14ac:dyDescent="0.3"/>
  <sheetData>
    <row r="1" spans="2:16" x14ac:dyDescent="0.3">
      <c r="B1" s="1" t="s">
        <v>174</v>
      </c>
    </row>
    <row r="2" spans="2:16" x14ac:dyDescent="0.3">
      <c r="D2" s="2"/>
      <c r="E2" s="2"/>
      <c r="F2" s="2"/>
      <c r="L2" s="3" t="s">
        <v>1</v>
      </c>
      <c r="M2" s="4" t="s">
        <v>2</v>
      </c>
      <c r="N2" t="s">
        <v>3</v>
      </c>
      <c r="P2" s="5"/>
    </row>
    <row r="3" spans="2:16" ht="15" thickBot="1" x14ac:dyDescent="0.35">
      <c r="C3" s="6">
        <f>(((B14/C6+C10)*C8+C12)+I74)/12</f>
        <v>483.41810783680165</v>
      </c>
      <c r="D3" s="7" t="s">
        <v>4</v>
      </c>
      <c r="E3" s="8" t="s">
        <v>5</v>
      </c>
      <c r="F3" s="137" t="s">
        <v>6</v>
      </c>
      <c r="I3" s="9" t="s">
        <v>7</v>
      </c>
      <c r="J3" s="10">
        <f>C3/C8</f>
        <v>4.6933796877359386</v>
      </c>
      <c r="L3" s="11">
        <f>J3*C8</f>
        <v>483.41810783680165</v>
      </c>
      <c r="M3" s="12">
        <f>L3/21</f>
        <v>23.019909896990555</v>
      </c>
      <c r="N3" s="13">
        <f>M3/3</f>
        <v>7.6733032989968519</v>
      </c>
      <c r="P3" s="5"/>
    </row>
    <row r="4" spans="2:16" x14ac:dyDescent="0.3">
      <c r="C4" s="9" t="s">
        <v>8</v>
      </c>
      <c r="D4" s="7"/>
      <c r="E4" s="14">
        <v>12</v>
      </c>
      <c r="F4" s="137"/>
      <c r="I4" s="9" t="s">
        <v>9</v>
      </c>
      <c r="J4" s="15">
        <f>J3*1.21</f>
        <v>5.6789894221604857</v>
      </c>
      <c r="L4" s="11">
        <f>J4*C8</f>
        <v>584.93591048253006</v>
      </c>
      <c r="M4" s="12">
        <f>L4/21</f>
        <v>27.854090975358574</v>
      </c>
      <c r="N4" s="13">
        <f>M4/3</f>
        <v>9.2846969917861912</v>
      </c>
      <c r="P4" s="5"/>
    </row>
    <row r="5" spans="2:16" x14ac:dyDescent="0.3">
      <c r="D5" s="2"/>
      <c r="E5" s="2"/>
      <c r="F5" s="2"/>
      <c r="L5" s="13"/>
      <c r="P5" s="5"/>
    </row>
    <row r="6" spans="2:16" x14ac:dyDescent="0.3">
      <c r="C6" s="16">
        <v>3000</v>
      </c>
      <c r="D6" t="s">
        <v>10</v>
      </c>
      <c r="E6" s="17" t="s">
        <v>11</v>
      </c>
      <c r="P6" s="5"/>
    </row>
    <row r="7" spans="2:16" x14ac:dyDescent="0.3">
      <c r="C7" s="18"/>
      <c r="E7" s="17"/>
      <c r="P7" s="5"/>
    </row>
    <row r="8" spans="2:16" x14ac:dyDescent="0.3">
      <c r="B8" s="19">
        <f>C8/C6</f>
        <v>3.4333333333333334E-2</v>
      </c>
      <c r="C8" s="20">
        <v>103</v>
      </c>
      <c r="D8" t="s">
        <v>12</v>
      </c>
      <c r="E8" s="21" t="s">
        <v>13</v>
      </c>
      <c r="F8" s="21"/>
      <c r="I8" s="114"/>
      <c r="M8" s="13"/>
    </row>
    <row r="9" spans="2:16" x14ac:dyDescent="0.3">
      <c r="C9" s="18"/>
      <c r="E9" s="17"/>
    </row>
    <row r="10" spans="2:16" x14ac:dyDescent="0.3">
      <c r="C10" s="107">
        <f>B54</f>
        <v>0.54502978033934923</v>
      </c>
      <c r="D10" t="s">
        <v>14</v>
      </c>
      <c r="E10" s="21" t="s">
        <v>15</v>
      </c>
    </row>
    <row r="11" spans="2:16" x14ac:dyDescent="0.3">
      <c r="D11" s="21"/>
    </row>
    <row r="12" spans="2:16" x14ac:dyDescent="0.3">
      <c r="C12" s="22">
        <v>28</v>
      </c>
      <c r="D12" s="23" t="s">
        <v>16</v>
      </c>
      <c r="E12" s="24" t="s">
        <v>17</v>
      </c>
    </row>
    <row r="13" spans="2:16" x14ac:dyDescent="0.3">
      <c r="D13" s="21"/>
    </row>
    <row r="14" spans="2:16" x14ac:dyDescent="0.3">
      <c r="B14" s="20">
        <f>C23+C34+C36+C40+C41+C43</f>
        <v>154860.56</v>
      </c>
      <c r="C14" t="s">
        <v>18</v>
      </c>
      <c r="D14" t="s">
        <v>19</v>
      </c>
    </row>
    <row r="16" spans="2:16" x14ac:dyDescent="0.3">
      <c r="E16" s="17" t="s">
        <v>20</v>
      </c>
    </row>
    <row r="17" spans="3:9" x14ac:dyDescent="0.3">
      <c r="E17" s="25"/>
    </row>
    <row r="18" spans="3:9" x14ac:dyDescent="0.3">
      <c r="E18" t="s">
        <v>21</v>
      </c>
      <c r="I18" t="s">
        <v>21</v>
      </c>
    </row>
    <row r="19" spans="3:9" x14ac:dyDescent="0.3">
      <c r="E19" s="26"/>
    </row>
    <row r="20" spans="3:9" x14ac:dyDescent="0.3">
      <c r="E20" s="27" t="s">
        <v>22</v>
      </c>
    </row>
    <row r="23" spans="3:9" x14ac:dyDescent="0.3">
      <c r="C23" s="20">
        <f>D84+D87</f>
        <v>136881</v>
      </c>
      <c r="D23" t="s">
        <v>23</v>
      </c>
      <c r="E23" t="s">
        <v>24</v>
      </c>
    </row>
    <row r="24" spans="3:9" x14ac:dyDescent="0.3">
      <c r="C24" s="18"/>
      <c r="E24" t="s">
        <v>25</v>
      </c>
    </row>
    <row r="25" spans="3:9" x14ac:dyDescent="0.3">
      <c r="C25" s="18"/>
      <c r="E25" t="s">
        <v>26</v>
      </c>
    </row>
    <row r="26" spans="3:9" x14ac:dyDescent="0.3">
      <c r="C26" s="18"/>
      <c r="E26" t="s">
        <v>27</v>
      </c>
    </row>
    <row r="27" spans="3:9" x14ac:dyDescent="0.3">
      <c r="C27" s="18"/>
      <c r="E27" t="s">
        <v>28</v>
      </c>
    </row>
    <row r="28" spans="3:9" x14ac:dyDescent="0.3">
      <c r="C28" s="18"/>
      <c r="E28" t="s">
        <v>29</v>
      </c>
    </row>
    <row r="29" spans="3:9" x14ac:dyDescent="0.3">
      <c r="C29" s="18"/>
      <c r="E29" t="s">
        <v>30</v>
      </c>
    </row>
    <row r="30" spans="3:9" x14ac:dyDescent="0.3">
      <c r="C30" s="18"/>
      <c r="E30" t="s">
        <v>31</v>
      </c>
    </row>
    <row r="31" spans="3:9" x14ac:dyDescent="0.3">
      <c r="C31" s="18"/>
      <c r="E31" t="s">
        <v>32</v>
      </c>
    </row>
    <row r="32" spans="3:9" x14ac:dyDescent="0.3">
      <c r="C32" s="18"/>
      <c r="E32" t="s">
        <v>33</v>
      </c>
    </row>
    <row r="33" spans="2:18" x14ac:dyDescent="0.3">
      <c r="C33" s="18"/>
      <c r="E33" t="s">
        <v>34</v>
      </c>
    </row>
    <row r="34" spans="2:18" x14ac:dyDescent="0.3">
      <c r="C34" s="20">
        <f>D104</f>
        <v>17979.560000000001</v>
      </c>
      <c r="D34" t="s">
        <v>35</v>
      </c>
      <c r="E34" t="s">
        <v>36</v>
      </c>
    </row>
    <row r="35" spans="2:18" x14ac:dyDescent="0.3">
      <c r="C35" s="18"/>
      <c r="E35" t="s">
        <v>37</v>
      </c>
    </row>
    <row r="36" spans="2:18" x14ac:dyDescent="0.3">
      <c r="B36" t="s">
        <v>132</v>
      </c>
      <c r="C36" s="20"/>
      <c r="D36" t="s">
        <v>38</v>
      </c>
      <c r="E36" t="s">
        <v>39</v>
      </c>
    </row>
    <row r="37" spans="2:18" x14ac:dyDescent="0.3">
      <c r="C37" s="18"/>
      <c r="E37" t="s">
        <v>40</v>
      </c>
    </row>
    <row r="38" spans="2:18" x14ac:dyDescent="0.3">
      <c r="C38" s="18"/>
      <c r="E38" t="s">
        <v>41</v>
      </c>
    </row>
    <row r="39" spans="2:18" x14ac:dyDescent="0.3">
      <c r="C39" s="18"/>
      <c r="E39" t="s">
        <v>42</v>
      </c>
    </row>
    <row r="40" spans="2:18" x14ac:dyDescent="0.3">
      <c r="C40" s="20">
        <f>D90</f>
        <v>0</v>
      </c>
      <c r="D40" t="s">
        <v>43</v>
      </c>
      <c r="E40" t="s">
        <v>44</v>
      </c>
    </row>
    <row r="41" spans="2:18" x14ac:dyDescent="0.3">
      <c r="C41" s="20"/>
      <c r="D41" t="s">
        <v>45</v>
      </c>
      <c r="E41" t="s">
        <v>46</v>
      </c>
    </row>
    <row r="42" spans="2:18" x14ac:dyDescent="0.3">
      <c r="C42" s="20">
        <f>E106</f>
        <v>0</v>
      </c>
      <c r="D42" t="s">
        <v>47</v>
      </c>
      <c r="E42" t="s">
        <v>48</v>
      </c>
    </row>
    <row r="43" spans="2:18" x14ac:dyDescent="0.3">
      <c r="B43" s="2"/>
      <c r="C43" s="28"/>
      <c r="D43" s="2"/>
      <c r="E43" s="2" t="s">
        <v>49</v>
      </c>
      <c r="F43" s="2"/>
      <c r="G43" s="2"/>
      <c r="H43" s="2"/>
      <c r="I43" s="2"/>
      <c r="J43" s="2"/>
      <c r="K43" s="2"/>
      <c r="L43" s="2"/>
      <c r="M43" s="2"/>
      <c r="N43" s="2"/>
      <c r="O43" s="2"/>
      <c r="P43" s="2"/>
      <c r="Q43" s="2"/>
      <c r="R43" s="2"/>
    </row>
    <row r="44" spans="2:18" x14ac:dyDescent="0.3">
      <c r="B44" s="2"/>
      <c r="C44" s="28"/>
      <c r="D44" s="2"/>
      <c r="E44" s="2" t="s">
        <v>50</v>
      </c>
      <c r="F44" s="2"/>
      <c r="G44" s="2"/>
      <c r="H44" s="2"/>
      <c r="I44" s="2"/>
      <c r="J44" s="2"/>
      <c r="K44" s="2"/>
      <c r="L44" s="2"/>
      <c r="M44" s="2"/>
      <c r="N44" s="2"/>
      <c r="O44" s="2"/>
      <c r="P44" s="2"/>
      <c r="Q44" s="2"/>
      <c r="R44" s="2"/>
    </row>
    <row r="45" spans="2:18" x14ac:dyDescent="0.3">
      <c r="E45" s="2" t="s">
        <v>51</v>
      </c>
    </row>
    <row r="46" spans="2:18" x14ac:dyDescent="0.3">
      <c r="E46" s="2" t="s">
        <v>52</v>
      </c>
    </row>
    <row r="47" spans="2:18" x14ac:dyDescent="0.3">
      <c r="E47" s="2" t="s">
        <v>53</v>
      </c>
    </row>
    <row r="48" spans="2:18" x14ac:dyDescent="0.3">
      <c r="E48" s="2" t="s">
        <v>54</v>
      </c>
    </row>
    <row r="49" spans="1:18" x14ac:dyDescent="0.3">
      <c r="E49" s="2" t="s">
        <v>55</v>
      </c>
    </row>
    <row r="50" spans="1:18" x14ac:dyDescent="0.3">
      <c r="C50" s="20"/>
      <c r="D50" t="s">
        <v>56</v>
      </c>
      <c r="E50" s="2" t="s">
        <v>57</v>
      </c>
    </row>
    <row r="51" spans="1:18" x14ac:dyDescent="0.3">
      <c r="E51" s="2" t="s">
        <v>58</v>
      </c>
    </row>
    <row r="54" spans="1:18" x14ac:dyDescent="0.3">
      <c r="B54" s="29">
        <f>C60*C62/C64</f>
        <v>0.54502978033934923</v>
      </c>
      <c r="C54" t="s">
        <v>14</v>
      </c>
      <c r="D54" s="138" t="s">
        <v>59</v>
      </c>
      <c r="E54" s="138"/>
      <c r="F54" s="138"/>
      <c r="G54" s="138"/>
      <c r="H54" s="138"/>
      <c r="I54" s="138"/>
      <c r="J54" s="138"/>
      <c r="K54" s="138"/>
      <c r="L54" s="138"/>
      <c r="M54" s="138"/>
      <c r="N54" s="138"/>
      <c r="O54" s="138"/>
      <c r="P54" s="138"/>
      <c r="Q54" s="138"/>
      <c r="R54" s="138"/>
    </row>
    <row r="56" spans="1:18" x14ac:dyDescent="0.3">
      <c r="F56" s="30" t="s">
        <v>60</v>
      </c>
    </row>
    <row r="58" spans="1:18" x14ac:dyDescent="0.3">
      <c r="F58" s="30" t="s">
        <v>61</v>
      </c>
    </row>
    <row r="60" spans="1:18" x14ac:dyDescent="0.3">
      <c r="C60" s="31">
        <f>D100</f>
        <v>24717</v>
      </c>
      <c r="D60" t="s">
        <v>62</v>
      </c>
      <c r="E60" s="138" t="s">
        <v>63</v>
      </c>
      <c r="F60" s="138"/>
      <c r="G60" s="138"/>
      <c r="H60" s="138"/>
      <c r="I60" s="138"/>
      <c r="J60" s="138"/>
      <c r="K60" s="138"/>
      <c r="L60" s="138"/>
      <c r="M60" s="138"/>
      <c r="N60" s="138"/>
      <c r="O60" s="138"/>
      <c r="P60" s="138"/>
      <c r="Q60" s="138"/>
      <c r="R60" s="138"/>
    </row>
    <row r="61" spans="1:18" x14ac:dyDescent="0.3">
      <c r="B61" s="2"/>
      <c r="C61" s="2"/>
      <c r="D61" s="2"/>
      <c r="E61" s="32"/>
      <c r="F61" s="32"/>
      <c r="G61" s="32"/>
      <c r="H61" s="32"/>
      <c r="I61" s="32"/>
      <c r="J61" s="32"/>
      <c r="K61" s="32"/>
      <c r="L61" s="32"/>
      <c r="M61" s="32"/>
      <c r="N61" s="32"/>
      <c r="O61" s="32"/>
      <c r="P61" s="32"/>
      <c r="Q61" s="32"/>
      <c r="R61" s="32"/>
    </row>
    <row r="62" spans="1:18" x14ac:dyDescent="0.3">
      <c r="A62" s="113"/>
      <c r="C62" s="33">
        <f>(D92+D86)/(807927+77120)</f>
        <v>6.6152419024074427E-2</v>
      </c>
      <c r="D62" t="s">
        <v>64</v>
      </c>
      <c r="E62" s="138" t="s">
        <v>65</v>
      </c>
      <c r="F62" s="138"/>
      <c r="G62" s="138"/>
      <c r="H62" s="138"/>
      <c r="I62" s="138"/>
      <c r="J62" s="138"/>
      <c r="K62" s="138"/>
      <c r="L62" s="138"/>
      <c r="M62" s="138"/>
      <c r="N62" s="138"/>
      <c r="O62" s="138"/>
      <c r="P62" s="138"/>
      <c r="Q62" s="138"/>
      <c r="R62" s="138"/>
    </row>
    <row r="64" spans="1:18" x14ac:dyDescent="0.3">
      <c r="C64" s="20">
        <f>C6</f>
        <v>3000</v>
      </c>
      <c r="D64" t="s">
        <v>66</v>
      </c>
      <c r="E64" s="30" t="s">
        <v>67</v>
      </c>
    </row>
    <row r="67" spans="1:18" x14ac:dyDescent="0.3">
      <c r="D67" s="34"/>
      <c r="E67" s="34"/>
      <c r="F67" s="34"/>
      <c r="G67" s="34"/>
    </row>
    <row r="68" spans="1:18" x14ac:dyDescent="0.3">
      <c r="A68" s="113"/>
      <c r="C68" s="35" t="s">
        <v>68</v>
      </c>
      <c r="D68" s="34" t="s">
        <v>133</v>
      </c>
      <c r="E68" s="34"/>
      <c r="F68" s="34"/>
      <c r="G68" s="34"/>
    </row>
    <row r="69" spans="1:18" x14ac:dyDescent="0.3">
      <c r="A69" s="113"/>
      <c r="C69">
        <v>2221</v>
      </c>
      <c r="D69" s="18">
        <v>39388</v>
      </c>
      <c r="E69" s="34"/>
      <c r="F69" s="34"/>
      <c r="G69" s="34"/>
    </row>
    <row r="70" spans="1:18" x14ac:dyDescent="0.3">
      <c r="A70" s="113"/>
      <c r="C70">
        <v>2222</v>
      </c>
      <c r="D70" s="18">
        <v>7000</v>
      </c>
      <c r="E70" s="112" t="s">
        <v>135</v>
      </c>
      <c r="F70" s="36"/>
    </row>
    <row r="71" spans="1:18" x14ac:dyDescent="0.3">
      <c r="A71" s="113"/>
      <c r="C71">
        <v>2223</v>
      </c>
      <c r="D71" s="37">
        <v>15000</v>
      </c>
      <c r="E71" s="112" t="s">
        <v>136</v>
      </c>
    </row>
    <row r="72" spans="1:18" x14ac:dyDescent="0.3">
      <c r="A72" s="113"/>
      <c r="B72" s="104"/>
      <c r="C72" s="104">
        <v>2224</v>
      </c>
      <c r="D72" s="105">
        <v>2000</v>
      </c>
      <c r="E72" s="106" t="s">
        <v>137</v>
      </c>
      <c r="F72" s="105"/>
      <c r="G72" s="104"/>
      <c r="H72" s="104"/>
      <c r="I72" s="104"/>
      <c r="J72" s="104"/>
      <c r="K72" s="104"/>
      <c r="L72" s="104"/>
      <c r="M72" s="104"/>
      <c r="N72" s="104"/>
      <c r="O72" s="104"/>
      <c r="P72" s="104"/>
      <c r="Q72" s="104"/>
      <c r="R72" s="104"/>
    </row>
    <row r="73" spans="1:18" x14ac:dyDescent="0.3">
      <c r="A73" s="113"/>
      <c r="B73" s="104"/>
      <c r="C73" s="104">
        <v>2239</v>
      </c>
      <c r="D73" s="105"/>
      <c r="E73" s="106"/>
      <c r="F73" s="104"/>
      <c r="G73" s="104"/>
      <c r="H73" s="104"/>
      <c r="I73" s="104"/>
      <c r="J73" s="104"/>
      <c r="K73" s="104"/>
      <c r="L73" s="104">
        <v>10</v>
      </c>
      <c r="M73" s="104"/>
      <c r="N73" s="104"/>
      <c r="O73" s="104"/>
      <c r="P73" s="104"/>
      <c r="Q73" s="104"/>
      <c r="R73" s="104"/>
    </row>
    <row r="74" spans="1:18" x14ac:dyDescent="0.3">
      <c r="A74" s="113"/>
      <c r="B74" s="38"/>
      <c r="C74" s="38">
        <v>2241</v>
      </c>
      <c r="D74" s="39"/>
      <c r="E74" s="40"/>
      <c r="F74" s="38"/>
      <c r="G74" s="38"/>
      <c r="I74">
        <v>400</v>
      </c>
      <c r="J74" t="s">
        <v>138</v>
      </c>
    </row>
    <row r="75" spans="1:18" x14ac:dyDescent="0.3">
      <c r="A75" s="113"/>
      <c r="C75">
        <v>2243</v>
      </c>
      <c r="D75" s="37">
        <f>600+9928</f>
        <v>10528</v>
      </c>
      <c r="E75" s="112" t="s">
        <v>69</v>
      </c>
      <c r="F75" s="37"/>
    </row>
    <row r="76" spans="1:18" x14ac:dyDescent="0.3">
      <c r="A76" s="113"/>
      <c r="C76">
        <v>2244</v>
      </c>
      <c r="D76" s="37">
        <f>1226</f>
        <v>1226</v>
      </c>
      <c r="E76" s="112" t="s">
        <v>70</v>
      </c>
      <c r="F76" s="37"/>
    </row>
    <row r="77" spans="1:18" x14ac:dyDescent="0.3">
      <c r="A77" s="113"/>
      <c r="C77">
        <v>2247</v>
      </c>
      <c r="D77" s="37"/>
      <c r="E77" s="112"/>
    </row>
    <row r="78" spans="1:18" x14ac:dyDescent="0.3">
      <c r="A78" s="113"/>
      <c r="C78">
        <v>2264</v>
      </c>
      <c r="D78" s="37">
        <f>271</f>
        <v>271</v>
      </c>
      <c r="E78" s="112"/>
      <c r="F78" s="37"/>
    </row>
    <row r="79" spans="1:18" x14ac:dyDescent="0.3">
      <c r="A79" s="113"/>
      <c r="C79">
        <v>2312</v>
      </c>
      <c r="D79" s="37">
        <v>4400</v>
      </c>
      <c r="E79" s="112"/>
      <c r="F79" s="37"/>
    </row>
    <row r="80" spans="1:18" x14ac:dyDescent="0.3">
      <c r="A80" s="113"/>
      <c r="C80">
        <v>2329</v>
      </c>
      <c r="D80" s="37">
        <v>500</v>
      </c>
      <c r="E80" s="112"/>
      <c r="F80" s="37"/>
    </row>
    <row r="81" spans="1:8" x14ac:dyDescent="0.3">
      <c r="A81" s="113"/>
      <c r="C81">
        <v>2321</v>
      </c>
      <c r="D81" s="37">
        <v>0</v>
      </c>
      <c r="E81" s="112" t="s">
        <v>71</v>
      </c>
    </row>
    <row r="82" spans="1:8" x14ac:dyDescent="0.3">
      <c r="A82" s="113"/>
      <c r="C82">
        <v>2341</v>
      </c>
      <c r="D82" s="37">
        <f>400+1960</f>
        <v>2360</v>
      </c>
      <c r="E82" s="112" t="s">
        <v>72</v>
      </c>
      <c r="F82" s="37"/>
    </row>
    <row r="83" spans="1:8" x14ac:dyDescent="0.3">
      <c r="A83" s="113"/>
      <c r="C83">
        <v>2350</v>
      </c>
      <c r="D83" s="37">
        <v>16900</v>
      </c>
      <c r="E83" s="112" t="s">
        <v>73</v>
      </c>
    </row>
    <row r="84" spans="1:8" x14ac:dyDescent="0.3">
      <c r="A84" s="113"/>
      <c r="B84" s="41" t="s">
        <v>74</v>
      </c>
      <c r="C84" s="41"/>
      <c r="D84" s="42">
        <f>SUM(D69:D83)</f>
        <v>99573</v>
      </c>
      <c r="E84" s="136"/>
      <c r="F84" s="136"/>
      <c r="G84" s="136"/>
      <c r="H84" s="136"/>
    </row>
    <row r="85" spans="1:8" x14ac:dyDescent="0.3">
      <c r="A85" s="113"/>
      <c r="D85" s="43"/>
      <c r="E85" s="136"/>
      <c r="F85" s="136"/>
      <c r="G85" s="136"/>
      <c r="H85" s="136"/>
    </row>
    <row r="86" spans="1:8" x14ac:dyDescent="0.3">
      <c r="A86" s="113"/>
      <c r="D86" s="45">
        <v>37308</v>
      </c>
      <c r="E86" s="125" t="s">
        <v>175</v>
      </c>
      <c r="F86" s="125"/>
      <c r="G86" s="112"/>
      <c r="H86" s="112"/>
    </row>
    <row r="87" spans="1:8" x14ac:dyDescent="0.3">
      <c r="A87" s="113"/>
      <c r="B87" s="41" t="s">
        <v>75</v>
      </c>
      <c r="C87" s="41"/>
      <c r="D87" s="42">
        <f>SUM(D86:D86)</f>
        <v>37308</v>
      </c>
      <c r="E87" s="112"/>
      <c r="F87" s="112"/>
      <c r="G87" s="112"/>
      <c r="H87" s="112"/>
    </row>
    <row r="88" spans="1:8" x14ac:dyDescent="0.3">
      <c r="A88" s="113"/>
      <c r="D88" s="43"/>
      <c r="E88" s="112"/>
      <c r="F88" s="112"/>
      <c r="G88" s="112"/>
      <c r="H88" s="112"/>
    </row>
    <row r="89" spans="1:8" x14ac:dyDescent="0.3">
      <c r="A89" s="113"/>
      <c r="C89">
        <v>2263</v>
      </c>
      <c r="D89" s="44"/>
      <c r="E89" s="125" t="s">
        <v>89</v>
      </c>
      <c r="F89" s="112"/>
      <c r="G89" s="112"/>
      <c r="H89" s="112"/>
    </row>
    <row r="90" spans="1:8" x14ac:dyDescent="0.3">
      <c r="A90" s="113"/>
      <c r="B90" s="41" t="s">
        <v>85</v>
      </c>
      <c r="C90" s="41"/>
      <c r="D90" s="42">
        <f>SUM(D89:D89)</f>
        <v>0</v>
      </c>
      <c r="E90" s="112"/>
      <c r="F90" s="112"/>
      <c r="G90" s="112"/>
      <c r="H90" s="112"/>
    </row>
    <row r="91" spans="1:8" x14ac:dyDescent="0.3">
      <c r="A91" s="113"/>
      <c r="D91" s="43"/>
      <c r="E91" s="112"/>
      <c r="F91" s="112"/>
      <c r="G91" s="112"/>
      <c r="H91" s="112"/>
    </row>
    <row r="92" spans="1:8" x14ac:dyDescent="0.3">
      <c r="A92" s="113"/>
      <c r="D92" s="45">
        <v>21240</v>
      </c>
      <c r="E92" s="125" t="s">
        <v>76</v>
      </c>
    </row>
    <row r="93" spans="1:8" x14ac:dyDescent="0.3">
      <c r="A93" s="113"/>
      <c r="C93">
        <v>2210</v>
      </c>
      <c r="D93" s="103">
        <f>50+1652</f>
        <v>1702</v>
      </c>
      <c r="E93" s="112" t="s">
        <v>134</v>
      </c>
    </row>
    <row r="94" spans="1:8" x14ac:dyDescent="0.3">
      <c r="A94" s="113"/>
      <c r="C94">
        <v>2264</v>
      </c>
      <c r="D94" s="103">
        <v>500</v>
      </c>
      <c r="E94" s="112"/>
    </row>
    <row r="95" spans="1:8" x14ac:dyDescent="0.3">
      <c r="A95" s="113"/>
      <c r="C95">
        <v>2234</v>
      </c>
      <c r="D95" s="103">
        <v>525</v>
      </c>
      <c r="E95" s="112" t="s">
        <v>78</v>
      </c>
    </row>
    <row r="96" spans="1:8" x14ac:dyDescent="0.3">
      <c r="A96" s="113"/>
      <c r="C96">
        <v>2311</v>
      </c>
      <c r="D96" s="103"/>
      <c r="E96" s="112" t="s">
        <v>79</v>
      </c>
    </row>
    <row r="97" spans="1:5" x14ac:dyDescent="0.3">
      <c r="A97" s="113"/>
      <c r="C97">
        <v>2312</v>
      </c>
      <c r="D97" s="103"/>
      <c r="E97" s="112" t="s">
        <v>80</v>
      </c>
    </row>
    <row r="98" spans="1:5" x14ac:dyDescent="0.3">
      <c r="A98" s="113"/>
      <c r="C98">
        <v>2322</v>
      </c>
      <c r="D98" s="103">
        <f>450+300</f>
        <v>750</v>
      </c>
      <c r="E98" s="112" t="s">
        <v>81</v>
      </c>
    </row>
    <row r="99" spans="1:5" x14ac:dyDescent="0.3">
      <c r="A99" s="113"/>
      <c r="C99">
        <v>2390</v>
      </c>
      <c r="D99" s="103"/>
    </row>
    <row r="100" spans="1:5" x14ac:dyDescent="0.3">
      <c r="A100" s="113"/>
      <c r="B100" s="41" t="s">
        <v>82</v>
      </c>
      <c r="C100" s="41"/>
      <c r="D100" s="42">
        <f>SUM(D92:D99)</f>
        <v>24717</v>
      </c>
    </row>
    <row r="101" spans="1:5" x14ac:dyDescent="0.3">
      <c r="A101" s="113"/>
    </row>
    <row r="102" spans="1:5" ht="28.8" x14ac:dyDescent="0.3">
      <c r="A102" s="113"/>
      <c r="D102" s="46" t="s">
        <v>83</v>
      </c>
    </row>
    <row r="103" spans="1:5" x14ac:dyDescent="0.3">
      <c r="A103" s="113"/>
      <c r="D103">
        <v>17979.560000000001</v>
      </c>
    </row>
    <row r="104" spans="1:5" x14ac:dyDescent="0.3">
      <c r="A104" s="113"/>
      <c r="D104" s="47">
        <f>SUM(D103:D103)</f>
        <v>17979.560000000001</v>
      </c>
    </row>
  </sheetData>
  <mergeCells count="6">
    <mergeCell ref="E85:H85"/>
    <mergeCell ref="F3:F4"/>
    <mergeCell ref="D54:R54"/>
    <mergeCell ref="E60:R60"/>
    <mergeCell ref="E62:R62"/>
    <mergeCell ref="E84:H8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workbookViewId="0">
      <selection activeCell="L17" sqref="L17"/>
    </sheetView>
  </sheetViews>
  <sheetFormatPr defaultRowHeight="14.4" x14ac:dyDescent="0.3"/>
  <sheetData>
    <row r="1" spans="1:13" x14ac:dyDescent="0.3">
      <c r="B1" s="3" t="s">
        <v>133</v>
      </c>
    </row>
    <row r="2" spans="1:13" x14ac:dyDescent="0.3">
      <c r="A2" s="48" t="s">
        <v>91</v>
      </c>
      <c r="B2" s="48"/>
      <c r="C2" s="48"/>
      <c r="D2" s="48"/>
      <c r="E2" s="48" t="s">
        <v>92</v>
      </c>
      <c r="F2" s="48"/>
      <c r="G2" s="48"/>
      <c r="H2" s="48"/>
      <c r="I2" s="49" t="s">
        <v>93</v>
      </c>
      <c r="J2" s="115">
        <v>3000</v>
      </c>
    </row>
    <row r="3" spans="1:13" x14ac:dyDescent="0.3">
      <c r="A3" s="48"/>
      <c r="B3" s="50">
        <v>21240</v>
      </c>
      <c r="C3" s="126" t="s">
        <v>94</v>
      </c>
      <c r="D3" s="48"/>
      <c r="E3" s="51">
        <v>0.1</v>
      </c>
      <c r="F3" s="52">
        <f>B3*E3</f>
        <v>2124</v>
      </c>
      <c r="G3" s="48"/>
      <c r="H3" s="48"/>
      <c r="I3" s="49" t="s">
        <v>95</v>
      </c>
      <c r="J3" s="115">
        <v>21</v>
      </c>
    </row>
    <row r="4" spans="1:13" x14ac:dyDescent="0.3">
      <c r="A4" s="48"/>
      <c r="B4" s="50"/>
      <c r="C4" s="126" t="s">
        <v>96</v>
      </c>
      <c r="D4" s="48"/>
      <c r="E4" s="51"/>
      <c r="F4" s="52">
        <f>F3*0.2359</f>
        <v>501.05160000000001</v>
      </c>
      <c r="G4" s="48"/>
      <c r="H4" s="48"/>
      <c r="I4" s="49"/>
      <c r="J4" s="48"/>
    </row>
    <row r="5" spans="1:13" x14ac:dyDescent="0.3">
      <c r="A5" s="48">
        <v>2210</v>
      </c>
      <c r="B5" s="53">
        <v>1652</v>
      </c>
      <c r="C5" s="48" t="s">
        <v>77</v>
      </c>
      <c r="D5" s="48"/>
      <c r="E5" s="51">
        <v>0.01</v>
      </c>
      <c r="F5" s="52">
        <f t="shared" ref="F5:F23" si="0">B5*E5</f>
        <v>16.52</v>
      </c>
      <c r="G5" s="48"/>
      <c r="H5" s="48"/>
      <c r="I5" s="48" t="s">
        <v>84</v>
      </c>
      <c r="J5" s="51">
        <f>J3/J2</f>
        <v>7.0000000000000001E-3</v>
      </c>
    </row>
    <row r="6" spans="1:13" x14ac:dyDescent="0.3">
      <c r="A6" s="48">
        <v>2221</v>
      </c>
      <c r="B6" s="53">
        <v>39387.5</v>
      </c>
      <c r="C6" s="48"/>
      <c r="D6" s="48"/>
      <c r="E6" s="51">
        <v>0.01</v>
      </c>
      <c r="F6" s="52">
        <f t="shared" ref="F6" si="1">B6*E6</f>
        <v>393.875</v>
      </c>
      <c r="G6" s="48"/>
      <c r="H6" s="48"/>
      <c r="I6" s="48"/>
      <c r="J6" s="51"/>
    </row>
    <row r="7" spans="1:13" x14ac:dyDescent="0.3">
      <c r="A7" s="49" t="s">
        <v>86</v>
      </c>
      <c r="B7" s="53">
        <v>7000</v>
      </c>
      <c r="C7" s="54"/>
      <c r="D7" s="48"/>
      <c r="E7" s="51">
        <v>0.01</v>
      </c>
      <c r="F7" s="52">
        <f t="shared" si="0"/>
        <v>70</v>
      </c>
      <c r="G7" s="48"/>
      <c r="H7" s="48"/>
      <c r="I7" s="48"/>
      <c r="J7" s="48"/>
    </row>
    <row r="8" spans="1:13" x14ac:dyDescent="0.3">
      <c r="A8" s="49" t="s">
        <v>87</v>
      </c>
      <c r="B8" s="53">
        <v>15000</v>
      </c>
      <c r="C8" s="54"/>
      <c r="D8" s="48"/>
      <c r="E8" s="51">
        <v>0.01</v>
      </c>
      <c r="F8" s="52">
        <f t="shared" si="0"/>
        <v>150</v>
      </c>
      <c r="G8" s="48"/>
      <c r="H8" s="48"/>
      <c r="I8" s="48"/>
      <c r="J8" s="48"/>
    </row>
    <row r="9" spans="1:13" x14ac:dyDescent="0.3">
      <c r="A9" s="48">
        <v>2224</v>
      </c>
      <c r="B9" s="53">
        <v>2000</v>
      </c>
      <c r="C9" s="54"/>
      <c r="D9" s="48"/>
      <c r="E9" s="51">
        <v>0.01</v>
      </c>
      <c r="F9" s="52">
        <f t="shared" si="0"/>
        <v>20</v>
      </c>
      <c r="G9" s="48"/>
      <c r="H9" s="48"/>
      <c r="I9" s="48"/>
      <c r="J9" s="48"/>
    </row>
    <row r="10" spans="1:13" x14ac:dyDescent="0.3">
      <c r="A10" s="48">
        <v>2233</v>
      </c>
      <c r="B10" s="53">
        <f>130</f>
        <v>130</v>
      </c>
      <c r="C10" s="54"/>
      <c r="D10" s="48"/>
      <c r="E10" s="51">
        <v>0.01</v>
      </c>
      <c r="F10" s="52">
        <f t="shared" ref="F10" si="2">B10*E10</f>
        <v>1.3</v>
      </c>
      <c r="G10" s="48"/>
      <c r="H10" s="48"/>
      <c r="I10" s="48"/>
      <c r="J10" s="48"/>
    </row>
    <row r="11" spans="1:13" x14ac:dyDescent="0.3">
      <c r="A11" s="48">
        <v>2234</v>
      </c>
      <c r="B11" s="53">
        <v>525</v>
      </c>
      <c r="C11" s="54" t="s">
        <v>78</v>
      </c>
      <c r="D11" s="48"/>
      <c r="E11" s="51">
        <v>0.01</v>
      </c>
      <c r="F11" s="52">
        <f t="shared" si="0"/>
        <v>5.25</v>
      </c>
      <c r="G11" s="48"/>
      <c r="H11" s="48"/>
      <c r="I11" s="48"/>
      <c r="J11" s="48"/>
    </row>
    <row r="12" spans="1:13" x14ac:dyDescent="0.3">
      <c r="A12" s="48">
        <v>2239</v>
      </c>
      <c r="B12" s="53">
        <v>500</v>
      </c>
      <c r="C12" s="54"/>
      <c r="D12" s="48"/>
      <c r="E12" s="51">
        <v>0.01</v>
      </c>
      <c r="F12" s="52">
        <f t="shared" si="0"/>
        <v>5</v>
      </c>
      <c r="G12" s="48"/>
      <c r="H12" s="48"/>
      <c r="I12" s="48"/>
      <c r="J12" s="48"/>
      <c r="M12" s="60"/>
    </row>
    <row r="13" spans="1:13" x14ac:dyDescent="0.3">
      <c r="A13" s="55">
        <v>2241</v>
      </c>
      <c r="B13" s="56">
        <v>200</v>
      </c>
      <c r="C13" s="54" t="s">
        <v>97</v>
      </c>
      <c r="D13" s="48"/>
      <c r="E13" s="51">
        <v>0.01</v>
      </c>
      <c r="F13" s="52">
        <f t="shared" si="0"/>
        <v>2</v>
      </c>
      <c r="G13" s="48"/>
      <c r="H13" s="48"/>
      <c r="I13" s="48"/>
      <c r="J13" s="48"/>
    </row>
    <row r="14" spans="1:13" x14ac:dyDescent="0.3">
      <c r="A14" s="57">
        <v>2243</v>
      </c>
      <c r="B14" s="58">
        <f>9928-1530</f>
        <v>8398</v>
      </c>
      <c r="C14" s="59"/>
      <c r="D14" s="57"/>
      <c r="E14" s="51">
        <v>0.01</v>
      </c>
      <c r="F14" s="52">
        <f t="shared" si="0"/>
        <v>83.98</v>
      </c>
      <c r="G14" s="57"/>
      <c r="H14" s="57"/>
      <c r="I14" s="57"/>
      <c r="J14" s="57"/>
    </row>
    <row r="15" spans="1:13" x14ac:dyDescent="0.3">
      <c r="A15" s="57">
        <v>2244</v>
      </c>
      <c r="B15" s="58">
        <v>1226</v>
      </c>
      <c r="C15" s="59"/>
      <c r="D15" s="57"/>
      <c r="E15" s="51">
        <v>0.01</v>
      </c>
      <c r="F15" s="52">
        <f t="shared" si="0"/>
        <v>12.26</v>
      </c>
      <c r="G15" s="57"/>
      <c r="H15" s="57"/>
      <c r="I15" s="57"/>
      <c r="J15" s="57"/>
    </row>
    <row r="16" spans="1:13" x14ac:dyDescent="0.3">
      <c r="A16" s="57">
        <v>2247</v>
      </c>
      <c r="B16" s="58"/>
      <c r="C16" s="59"/>
      <c r="D16" s="57"/>
      <c r="E16" s="51">
        <v>0.01</v>
      </c>
      <c r="F16" s="52">
        <f t="shared" si="0"/>
        <v>0</v>
      </c>
      <c r="G16" s="57"/>
      <c r="H16" s="57"/>
      <c r="I16" s="57"/>
      <c r="J16" s="57"/>
    </row>
    <row r="17" spans="1:10" x14ac:dyDescent="0.3">
      <c r="A17" s="57">
        <v>2249</v>
      </c>
      <c r="B17" s="58"/>
      <c r="C17" s="59"/>
      <c r="D17" s="57"/>
      <c r="E17" s="51">
        <v>0.01</v>
      </c>
      <c r="F17" s="52">
        <f t="shared" si="0"/>
        <v>0</v>
      </c>
      <c r="G17" s="57"/>
      <c r="H17" s="57"/>
      <c r="I17" s="57"/>
      <c r="J17" s="57"/>
    </row>
    <row r="18" spans="1:10" x14ac:dyDescent="0.3">
      <c r="A18" s="57">
        <v>2264</v>
      </c>
      <c r="B18" s="58">
        <v>271</v>
      </c>
      <c r="C18" s="59"/>
      <c r="D18" s="57"/>
      <c r="E18" s="51">
        <v>0.01</v>
      </c>
      <c r="F18" s="52">
        <f t="shared" si="0"/>
        <v>2.71</v>
      </c>
      <c r="G18" s="57"/>
      <c r="H18" s="57"/>
      <c r="I18" s="57"/>
      <c r="J18" s="57"/>
    </row>
    <row r="19" spans="1:10" x14ac:dyDescent="0.3">
      <c r="A19" s="48">
        <v>2311</v>
      </c>
      <c r="B19" s="53">
        <v>2300</v>
      </c>
      <c r="C19" s="54" t="s">
        <v>79</v>
      </c>
      <c r="D19" s="48"/>
      <c r="E19" s="51">
        <v>0.01</v>
      </c>
      <c r="F19" s="52">
        <f t="shared" si="0"/>
        <v>23</v>
      </c>
      <c r="G19" s="48"/>
      <c r="H19" s="48"/>
      <c r="I19" s="48"/>
      <c r="J19" s="48"/>
    </row>
    <row r="20" spans="1:10" x14ac:dyDescent="0.3">
      <c r="A20" s="48">
        <v>2312</v>
      </c>
      <c r="B20" s="53">
        <v>16900</v>
      </c>
      <c r="C20" s="54"/>
      <c r="D20" s="48"/>
      <c r="E20" s="51">
        <v>0.01</v>
      </c>
      <c r="F20" s="52">
        <f t="shared" si="0"/>
        <v>169</v>
      </c>
      <c r="G20" s="48"/>
      <c r="H20" s="48"/>
      <c r="I20" s="48"/>
      <c r="J20" s="48"/>
    </row>
    <row r="21" spans="1:10" x14ac:dyDescent="0.3">
      <c r="A21" s="49" t="s">
        <v>139</v>
      </c>
      <c r="B21" s="53">
        <v>300</v>
      </c>
      <c r="C21" s="54"/>
      <c r="D21" s="48"/>
      <c r="E21" s="51">
        <v>0.01</v>
      </c>
      <c r="F21" s="52">
        <f t="shared" si="0"/>
        <v>3</v>
      </c>
      <c r="G21" s="48"/>
      <c r="H21" s="48"/>
      <c r="I21" s="48"/>
      <c r="J21" s="48"/>
    </row>
    <row r="22" spans="1:10" x14ac:dyDescent="0.3">
      <c r="A22" s="48">
        <v>2341</v>
      </c>
      <c r="B22" s="53">
        <v>1960</v>
      </c>
      <c r="C22" s="54"/>
      <c r="D22" s="48"/>
      <c r="E22" s="51">
        <v>0.01</v>
      </c>
      <c r="F22" s="52">
        <f t="shared" si="0"/>
        <v>19.600000000000001</v>
      </c>
      <c r="G22" s="48"/>
      <c r="H22" s="48"/>
      <c r="I22" s="48"/>
      <c r="J22" s="48"/>
    </row>
    <row r="23" spans="1:10" x14ac:dyDescent="0.3">
      <c r="A23" s="48">
        <v>2350</v>
      </c>
      <c r="B23" s="53">
        <v>500</v>
      </c>
      <c r="C23" s="48"/>
      <c r="D23" s="48"/>
      <c r="E23" s="51">
        <v>0.01</v>
      </c>
      <c r="F23" s="52">
        <f t="shared" si="0"/>
        <v>5</v>
      </c>
      <c r="G23" s="48"/>
      <c r="H23" s="48"/>
      <c r="I23" s="48"/>
      <c r="J23" s="48"/>
    </row>
    <row r="24" spans="1:10" x14ac:dyDescent="0.3">
      <c r="A24" s="48"/>
      <c r="B24" s="53">
        <f>SUM(B3:B23)</f>
        <v>119489.5</v>
      </c>
      <c r="C24" s="48"/>
      <c r="D24" s="48"/>
      <c r="E24" s="48"/>
      <c r="F24" s="52">
        <f>SUM(F3:F23)</f>
        <v>3607.5466000000001</v>
      </c>
      <c r="G24" s="48"/>
      <c r="H24" s="48"/>
      <c r="I24" s="48"/>
      <c r="J24" s="48"/>
    </row>
    <row r="25" spans="1:10" x14ac:dyDescent="0.3">
      <c r="A25" s="48"/>
      <c r="B25" s="53">
        <f>J2</f>
        <v>3000</v>
      </c>
      <c r="C25" s="48" t="s">
        <v>93</v>
      </c>
      <c r="D25" s="48"/>
      <c r="E25" s="48"/>
      <c r="F25" s="48"/>
      <c r="G25" s="48"/>
      <c r="H25" s="48"/>
      <c r="I25" s="48"/>
      <c r="J25" s="48"/>
    </row>
    <row r="26" spans="1:10" x14ac:dyDescent="0.3">
      <c r="A26" s="48"/>
      <c r="B26" s="53">
        <f>J3</f>
        <v>21</v>
      </c>
      <c r="C26" s="48" t="s">
        <v>95</v>
      </c>
      <c r="D26" s="48"/>
      <c r="E26" s="48"/>
      <c r="F26" s="48"/>
      <c r="G26" s="48"/>
      <c r="H26" s="48"/>
      <c r="I26" s="48"/>
      <c r="J26" s="48"/>
    </row>
    <row r="27" spans="1:10" x14ac:dyDescent="0.3">
      <c r="A27" s="48"/>
      <c r="B27" s="52"/>
      <c r="C27" s="48"/>
      <c r="D27" s="48"/>
      <c r="E27" s="48"/>
      <c r="F27" s="48"/>
      <c r="G27" s="48"/>
      <c r="H27" s="48"/>
      <c r="I27" s="48"/>
      <c r="J27" s="48"/>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topLeftCell="A25" workbookViewId="0">
      <selection activeCell="D44" sqref="D44"/>
    </sheetView>
  </sheetViews>
  <sheetFormatPr defaultRowHeight="14.4" x14ac:dyDescent="0.3"/>
  <cols>
    <col min="1" max="1" width="13.6640625" customWidth="1"/>
    <col min="2" max="2" width="49.5546875" customWidth="1"/>
    <col min="3" max="3" width="24.44140625" customWidth="1"/>
  </cols>
  <sheetData>
    <row r="1" spans="1:3" ht="73.2" customHeight="1" x14ac:dyDescent="0.3">
      <c r="A1" s="61" t="s">
        <v>98</v>
      </c>
      <c r="B1" s="62" t="s">
        <v>99</v>
      </c>
      <c r="C1" s="62" t="s">
        <v>100</v>
      </c>
    </row>
    <row r="2" spans="1:3" ht="15.6" x14ac:dyDescent="0.3">
      <c r="A2" s="63"/>
      <c r="B2" s="64" t="s">
        <v>101</v>
      </c>
      <c r="C2" s="65"/>
    </row>
    <row r="3" spans="1:3" ht="15.6" x14ac:dyDescent="0.3">
      <c r="A3" s="66">
        <v>1100</v>
      </c>
      <c r="B3" s="67" t="s">
        <v>102</v>
      </c>
      <c r="C3" s="68">
        <f>SUM(C4:C5)</f>
        <v>21216</v>
      </c>
    </row>
    <row r="4" spans="1:3" ht="15.6" x14ac:dyDescent="0.3">
      <c r="A4" s="69">
        <v>1100</v>
      </c>
      <c r="B4" s="70" t="s">
        <v>141</v>
      </c>
      <c r="C4" s="133">
        <v>13416</v>
      </c>
    </row>
    <row r="5" spans="1:3" ht="15.6" x14ac:dyDescent="0.3">
      <c r="A5" s="69">
        <v>1100</v>
      </c>
      <c r="B5" s="70" t="s">
        <v>142</v>
      </c>
      <c r="C5" s="133">
        <v>7800</v>
      </c>
    </row>
    <row r="6" spans="1:3" ht="15.6" x14ac:dyDescent="0.3">
      <c r="A6" s="69"/>
    </row>
    <row r="7" spans="1:3" ht="15.6" x14ac:dyDescent="0.3">
      <c r="A7" s="66">
        <v>1200</v>
      </c>
      <c r="B7" s="67" t="s">
        <v>103</v>
      </c>
      <c r="C7" s="71">
        <f>ROUND(C3*0.2359,0)</f>
        <v>5005</v>
      </c>
    </row>
    <row r="8" spans="1:3" ht="15.6" x14ac:dyDescent="0.3">
      <c r="A8" s="66">
        <v>2200</v>
      </c>
      <c r="B8" s="72" t="s">
        <v>104</v>
      </c>
      <c r="C8" s="71">
        <f>SUM(C9:C10)</f>
        <v>1930</v>
      </c>
    </row>
    <row r="9" spans="1:3" ht="15.6" x14ac:dyDescent="0.3">
      <c r="A9" s="66">
        <v>2243</v>
      </c>
      <c r="B9" s="73" t="s">
        <v>140</v>
      </c>
      <c r="C9" s="134">
        <v>1530</v>
      </c>
    </row>
    <row r="10" spans="1:3" ht="31.2" x14ac:dyDescent="0.3">
      <c r="A10" s="66">
        <v>2341</v>
      </c>
      <c r="B10" s="79" t="s">
        <v>138</v>
      </c>
      <c r="C10" s="135">
        <v>400</v>
      </c>
    </row>
    <row r="11" spans="1:3" ht="15.6" x14ac:dyDescent="0.3">
      <c r="A11" s="75"/>
      <c r="B11" s="76" t="s">
        <v>107</v>
      </c>
      <c r="C11" s="77">
        <f>C3+C7+C8</f>
        <v>28151</v>
      </c>
    </row>
    <row r="12" spans="1:3" ht="15.6" x14ac:dyDescent="0.3">
      <c r="A12" s="66">
        <v>1100</v>
      </c>
      <c r="B12" s="67" t="s">
        <v>102</v>
      </c>
      <c r="C12" s="68">
        <f>SUM(C13:C13)</f>
        <v>2548.8000000000002</v>
      </c>
    </row>
    <row r="13" spans="1:3" ht="20.399999999999999" customHeight="1" x14ac:dyDescent="0.3">
      <c r="A13" s="69">
        <v>1100</v>
      </c>
      <c r="B13" s="70" t="s">
        <v>108</v>
      </c>
      <c r="C13" s="128">
        <f>2124*0.1*12</f>
        <v>2548.8000000000002</v>
      </c>
    </row>
    <row r="14" spans="1:3" ht="15.6" x14ac:dyDescent="0.3">
      <c r="A14" s="66">
        <v>1200</v>
      </c>
      <c r="B14" s="67" t="s">
        <v>103</v>
      </c>
      <c r="C14" s="71">
        <f>ROUND(C12*0.2359,0)</f>
        <v>601</v>
      </c>
    </row>
    <row r="15" spans="1:3" ht="15.6" x14ac:dyDescent="0.3">
      <c r="A15" s="66">
        <v>2200</v>
      </c>
      <c r="B15" s="72" t="s">
        <v>104</v>
      </c>
      <c r="C15" s="71">
        <f>SUM(C16:C20)</f>
        <v>762.89499999999998</v>
      </c>
    </row>
    <row r="16" spans="1:3" ht="15.6" x14ac:dyDescent="0.3">
      <c r="A16" s="74">
        <v>2210</v>
      </c>
      <c r="B16" s="74" t="s">
        <v>109</v>
      </c>
      <c r="C16" s="85">
        <f>'Netiešās izmaksas'!F5</f>
        <v>16.52</v>
      </c>
    </row>
    <row r="17" spans="1:7" ht="15.6" x14ac:dyDescent="0.3">
      <c r="A17" s="74">
        <v>2220</v>
      </c>
      <c r="B17" s="78" t="s">
        <v>110</v>
      </c>
      <c r="C17" s="86">
        <f>'Netiešās izmaksas'!F6+'Netiešās izmaksas'!F7+'Netiešās izmaksas'!F8+'Netiešās izmaksas'!F9</f>
        <v>633.875</v>
      </c>
    </row>
    <row r="18" spans="1:7" ht="31.2" x14ac:dyDescent="0.3">
      <c r="A18" s="74">
        <v>2230</v>
      </c>
      <c r="B18" s="78" t="s">
        <v>111</v>
      </c>
      <c r="C18" s="86">
        <f>'Netiešās izmaksas'!F10+'Netiešās izmaksas'!F11+'Netiešās izmaksas'!F12</f>
        <v>11.55</v>
      </c>
    </row>
    <row r="19" spans="1:7" ht="15.6" x14ac:dyDescent="0.3">
      <c r="A19" s="73">
        <v>2240</v>
      </c>
      <c r="B19" s="73" t="s">
        <v>112</v>
      </c>
      <c r="C19" s="86">
        <f>'Netiešās izmaksas'!F13+'Netiešās izmaksas'!F14+'Netiešās izmaksas'!F15+'Netiešās izmaksas'!F16+'Netiešās izmaksas'!F17</f>
        <v>98.240000000000009</v>
      </c>
    </row>
    <row r="20" spans="1:7" ht="15.6" x14ac:dyDescent="0.3">
      <c r="A20" s="73">
        <v>2260</v>
      </c>
      <c r="B20" s="73" t="s">
        <v>88</v>
      </c>
      <c r="C20" s="86">
        <f>'Netiešās izmaksas'!F18</f>
        <v>2.71</v>
      </c>
      <c r="G20" s="108"/>
    </row>
    <row r="21" spans="1:7" ht="15.6" x14ac:dyDescent="0.3">
      <c r="A21" s="66">
        <v>2300</v>
      </c>
      <c r="B21" s="72" t="s">
        <v>105</v>
      </c>
      <c r="C21" s="71">
        <f>SUM(C22:C25)</f>
        <v>50.6</v>
      </c>
    </row>
    <row r="22" spans="1:7" ht="15.6" x14ac:dyDescent="0.3">
      <c r="A22" s="74">
        <v>2310</v>
      </c>
      <c r="B22" s="74" t="s">
        <v>106</v>
      </c>
      <c r="C22" s="86">
        <f>'Netiešās izmaksas'!F19</f>
        <v>23</v>
      </c>
    </row>
    <row r="23" spans="1:7" ht="15.6" x14ac:dyDescent="0.3">
      <c r="A23" s="74">
        <v>2320</v>
      </c>
      <c r="B23" s="78" t="s">
        <v>113</v>
      </c>
      <c r="C23" s="86">
        <f>'Netiešās izmaksas'!F21</f>
        <v>3</v>
      </c>
    </row>
    <row r="24" spans="1:7" ht="31.2" x14ac:dyDescent="0.3">
      <c r="A24" s="73">
        <v>2340</v>
      </c>
      <c r="B24" s="79" t="s">
        <v>114</v>
      </c>
      <c r="C24" s="86">
        <f>'Netiešās izmaksas'!F22</f>
        <v>19.600000000000001</v>
      </c>
    </row>
    <row r="25" spans="1:7" ht="15.6" x14ac:dyDescent="0.3">
      <c r="A25" s="73">
        <v>2350</v>
      </c>
      <c r="B25" s="79" t="s">
        <v>90</v>
      </c>
      <c r="C25" s="86">
        <f>'Netiešās izmaksas'!F23</f>
        <v>5</v>
      </c>
    </row>
    <row r="26" spans="1:7" ht="31.2" x14ac:dyDescent="0.3">
      <c r="A26" s="80"/>
      <c r="B26" s="119" t="s">
        <v>176</v>
      </c>
      <c r="C26" s="77">
        <f>C12+C14+C15+C21</f>
        <v>3963.2950000000001</v>
      </c>
    </row>
    <row r="27" spans="1:7" ht="15.6" x14ac:dyDescent="0.3">
      <c r="A27" s="80"/>
      <c r="B27" s="75" t="s">
        <v>115</v>
      </c>
      <c r="C27" s="77">
        <f>C11+C26</f>
        <v>32114.294999999998</v>
      </c>
    </row>
    <row r="28" spans="1:7" ht="15.6" x14ac:dyDescent="0.3">
      <c r="A28" s="80"/>
      <c r="B28" s="130" t="s">
        <v>116</v>
      </c>
      <c r="C28" s="129">
        <f>C27/C29</f>
        <v>6.0263267029461431</v>
      </c>
    </row>
    <row r="29" spans="1:7" ht="15.6" x14ac:dyDescent="0.3">
      <c r="A29" s="141" t="s">
        <v>117</v>
      </c>
      <c r="B29" s="142"/>
      <c r="C29" s="81">
        <f>5029+100+100+100</f>
        <v>5329</v>
      </c>
    </row>
    <row r="30" spans="1:7" ht="15.6" x14ac:dyDescent="0.3">
      <c r="A30" s="143" t="s">
        <v>118</v>
      </c>
      <c r="B30" s="144"/>
      <c r="C30" s="68"/>
    </row>
    <row r="31" spans="1:7" ht="34.200000000000003" customHeight="1" x14ac:dyDescent="0.3">
      <c r="A31" s="145" t="s">
        <v>177</v>
      </c>
      <c r="B31" s="146"/>
      <c r="C31" s="127">
        <v>4.03</v>
      </c>
      <c r="D31" s="36"/>
      <c r="E31">
        <f>C31*5029</f>
        <v>20266.870000000003</v>
      </c>
      <c r="F31" t="s">
        <v>183</v>
      </c>
    </row>
    <row r="32" spans="1:7" ht="42" customHeight="1" x14ac:dyDescent="0.3">
      <c r="A32" s="145" t="s">
        <v>180</v>
      </c>
      <c r="B32" s="146"/>
      <c r="C32" s="127">
        <v>8</v>
      </c>
      <c r="D32" s="36"/>
      <c r="E32">
        <f>100*C32</f>
        <v>800</v>
      </c>
    </row>
    <row r="33" spans="1:5" ht="40.200000000000003" customHeight="1" x14ac:dyDescent="0.3">
      <c r="A33" s="145" t="s">
        <v>181</v>
      </c>
      <c r="B33" s="146"/>
      <c r="C33" s="127">
        <v>6.03</v>
      </c>
      <c r="D33" s="36"/>
      <c r="E33">
        <f>100*C33</f>
        <v>603</v>
      </c>
    </row>
    <row r="34" spans="1:5" ht="30.6" customHeight="1" x14ac:dyDescent="0.3">
      <c r="A34" s="145" t="s">
        <v>182</v>
      </c>
      <c r="B34" s="146"/>
      <c r="C34" s="127">
        <v>12</v>
      </c>
      <c r="D34" s="36"/>
      <c r="E34">
        <f>120*C34</f>
        <v>1440</v>
      </c>
    </row>
    <row r="35" spans="1:5" ht="13.2" customHeight="1" x14ac:dyDescent="0.3">
      <c r="A35" s="139" t="s">
        <v>119</v>
      </c>
      <c r="B35" s="140"/>
      <c r="C35" s="77">
        <f>SUM(E31:E34)</f>
        <v>23109.870000000003</v>
      </c>
    </row>
    <row r="36" spans="1:5" ht="18" x14ac:dyDescent="0.35">
      <c r="A36" s="82"/>
      <c r="B36" s="83" t="s">
        <v>120</v>
      </c>
      <c r="C36" s="84">
        <f>C35-C27</f>
        <v>-9004.4249999999956</v>
      </c>
    </row>
    <row r="37" spans="1:5" ht="18" x14ac:dyDescent="0.35">
      <c r="A37" s="82"/>
      <c r="B37" s="83"/>
      <c r="C37" s="84"/>
    </row>
    <row r="38" spans="1:5" ht="17.399999999999999" x14ac:dyDescent="0.3">
      <c r="A38" s="149" t="s">
        <v>179</v>
      </c>
      <c r="B38" s="83"/>
      <c r="C38" s="84"/>
    </row>
    <row r="39" spans="1:5" ht="18" x14ac:dyDescent="0.35">
      <c r="A39" s="82"/>
      <c r="B39" s="83"/>
      <c r="C39" s="84"/>
    </row>
    <row r="40" spans="1:5" ht="18" x14ac:dyDescent="0.35">
      <c r="A40" s="82" t="s">
        <v>76</v>
      </c>
      <c r="B40" s="82"/>
      <c r="C40" s="82" t="s">
        <v>178</v>
      </c>
    </row>
    <row r="41" spans="1:5" ht="18" x14ac:dyDescent="0.35">
      <c r="A41" s="82"/>
      <c r="B41" s="82"/>
      <c r="C41" s="82"/>
    </row>
    <row r="42" spans="1:5" ht="18" x14ac:dyDescent="0.35">
      <c r="A42" s="82"/>
      <c r="B42" s="82"/>
      <c r="C42" s="82"/>
    </row>
    <row r="43" spans="1:5" ht="18" x14ac:dyDescent="0.35">
      <c r="A43" s="82"/>
      <c r="B43" s="82"/>
      <c r="C43" s="82"/>
    </row>
    <row r="44" spans="1:5" ht="18" x14ac:dyDescent="0.35">
      <c r="A44" s="82"/>
      <c r="B44" s="82"/>
      <c r="C44" s="82"/>
    </row>
    <row r="45" spans="1:5" ht="18" x14ac:dyDescent="0.35">
      <c r="A45" s="82"/>
      <c r="B45" s="82"/>
      <c r="C45" s="82"/>
    </row>
    <row r="46" spans="1:5" ht="18" x14ac:dyDescent="0.35">
      <c r="A46" s="82"/>
      <c r="B46" s="82"/>
      <c r="C46" s="82"/>
    </row>
  </sheetData>
  <mergeCells count="7">
    <mergeCell ref="A35:B35"/>
    <mergeCell ref="A29:B29"/>
    <mergeCell ref="A30:B30"/>
    <mergeCell ref="A31:B31"/>
    <mergeCell ref="A32:B3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tabSelected="1" topLeftCell="A10" workbookViewId="0">
      <selection activeCell="I15" sqref="I15"/>
    </sheetView>
  </sheetViews>
  <sheetFormatPr defaultColWidth="17.6640625" defaultRowHeight="26.25" customHeight="1" x14ac:dyDescent="0.5"/>
  <cols>
    <col min="1" max="1" width="3.6640625" style="87" customWidth="1"/>
    <col min="2" max="2" width="40.88671875" style="87" customWidth="1"/>
    <col min="3" max="3" width="17.6640625" style="87"/>
    <col min="4" max="4" width="19.6640625" style="87" customWidth="1"/>
    <col min="5" max="5" width="20.6640625" style="87" bestFit="1" customWidth="1"/>
    <col min="6" max="16384" width="17.6640625" style="87"/>
  </cols>
  <sheetData>
    <row r="1" spans="1:5" ht="26.25" customHeight="1" x14ac:dyDescent="0.5">
      <c r="B1" s="88"/>
      <c r="C1" s="88"/>
      <c r="D1" s="89" t="s">
        <v>121</v>
      </c>
    </row>
    <row r="2" spans="1:5" ht="26.25" customHeight="1" x14ac:dyDescent="0.5">
      <c r="B2" s="88"/>
      <c r="C2" s="88"/>
      <c r="D2" s="89" t="s">
        <v>122</v>
      </c>
    </row>
    <row r="3" spans="1:5" ht="26.25" customHeight="1" x14ac:dyDescent="0.5">
      <c r="B3" s="88"/>
      <c r="C3" s="90" t="s">
        <v>123</v>
      </c>
      <c r="D3" s="88"/>
    </row>
    <row r="4" spans="1:5" ht="17.25" customHeight="1" x14ac:dyDescent="0.5">
      <c r="B4" s="88"/>
      <c r="C4" s="88"/>
      <c r="D4" s="88"/>
    </row>
    <row r="5" spans="1:5" ht="99.6" x14ac:dyDescent="0.5">
      <c r="B5" s="91" t="s">
        <v>124</v>
      </c>
      <c r="C5" s="91"/>
      <c r="D5" s="91"/>
    </row>
    <row r="6" spans="1:5" ht="26.25" customHeight="1" x14ac:dyDescent="0.5">
      <c r="B6" s="88"/>
      <c r="C6" s="88"/>
      <c r="D6" s="88"/>
    </row>
    <row r="7" spans="1:5" ht="31.5" customHeight="1" x14ac:dyDescent="0.5">
      <c r="A7" s="88"/>
      <c r="B7" s="88"/>
      <c r="C7" s="92" t="s">
        <v>125</v>
      </c>
      <c r="D7" s="93" t="s">
        <v>126</v>
      </c>
    </row>
    <row r="8" spans="1:5" ht="18.600000000000001" customHeight="1" x14ac:dyDescent="0.5">
      <c r="A8" s="88"/>
      <c r="B8" s="94" t="s">
        <v>127</v>
      </c>
      <c r="C8" s="99">
        <f>'Tāme baseins 2022 plans'!C11</f>
        <v>28151</v>
      </c>
      <c r="D8" s="95"/>
    </row>
    <row r="9" spans="1:5" ht="18.600000000000001" customHeight="1" x14ac:dyDescent="0.5">
      <c r="A9" s="88"/>
      <c r="B9" s="94" t="s">
        <v>128</v>
      </c>
      <c r="C9" s="95">
        <f>'Tāme baseins 2022 plans'!C26</f>
        <v>3963.2950000000001</v>
      </c>
      <c r="D9" s="95"/>
    </row>
    <row r="10" spans="1:5" ht="18.600000000000001" customHeight="1" x14ac:dyDescent="0.5">
      <c r="A10" s="96"/>
      <c r="B10" s="97" t="s">
        <v>129</v>
      </c>
      <c r="C10" s="98">
        <f>C8+C9</f>
        <v>32114.294999999998</v>
      </c>
      <c r="D10" s="98"/>
    </row>
    <row r="11" spans="1:5" ht="18.600000000000001" customHeight="1" x14ac:dyDescent="0.5">
      <c r="A11" s="88"/>
      <c r="B11" s="94" t="s">
        <v>130</v>
      </c>
      <c r="C11" s="95">
        <v>5329</v>
      </c>
      <c r="D11" s="95"/>
    </row>
    <row r="12" spans="1:5" s="102" customFormat="1" ht="18.600000000000001" customHeight="1" x14ac:dyDescent="0.5">
      <c r="A12" s="100"/>
      <c r="B12" s="131" t="s">
        <v>131</v>
      </c>
      <c r="C12" s="132">
        <f>C10/C11</f>
        <v>6.0263267029461431</v>
      </c>
      <c r="D12" s="101"/>
    </row>
    <row r="13" spans="1:5" ht="34.200000000000003" customHeight="1" x14ac:dyDescent="0.5">
      <c r="A13" s="88"/>
      <c r="B13" s="150" t="s">
        <v>184</v>
      </c>
      <c r="C13" s="151">
        <v>4.03</v>
      </c>
      <c r="D13" s="152"/>
      <c r="E13" s="155"/>
    </row>
    <row r="14" spans="1:5" ht="31.2" customHeight="1" x14ac:dyDescent="0.5">
      <c r="A14" s="88"/>
      <c r="B14" s="150" t="s">
        <v>185</v>
      </c>
      <c r="C14" s="151">
        <v>8</v>
      </c>
      <c r="D14" s="152">
        <f>C14*1.21</f>
        <v>9.68</v>
      </c>
    </row>
    <row r="15" spans="1:5" ht="32.4" customHeight="1" x14ac:dyDescent="0.5">
      <c r="A15" s="88"/>
      <c r="B15" s="150" t="s">
        <v>186</v>
      </c>
      <c r="C15" s="151">
        <v>6.03</v>
      </c>
      <c r="D15" s="152">
        <f t="shared" ref="D15:D16" si="0">C15*1.21</f>
        <v>7.2963000000000005</v>
      </c>
    </row>
    <row r="16" spans="1:5" ht="35.4" customHeight="1" x14ac:dyDescent="0.5">
      <c r="A16" s="88"/>
      <c r="B16" s="150" t="s">
        <v>187</v>
      </c>
      <c r="C16" s="151">
        <v>12</v>
      </c>
      <c r="D16" s="152">
        <f t="shared" si="0"/>
        <v>14.52</v>
      </c>
    </row>
    <row r="17" spans="1:4" ht="35.4" customHeight="1" x14ac:dyDescent="0.5">
      <c r="A17" s="88"/>
      <c r="B17" s="156" t="s">
        <v>190</v>
      </c>
      <c r="C17" s="153">
        <f>'Tāme baseins 2022 plans'!C35</f>
        <v>23109.870000000003</v>
      </c>
      <c r="D17" s="154"/>
    </row>
    <row r="18" spans="1:4" ht="26.25" customHeight="1" x14ac:dyDescent="0.5">
      <c r="B18" s="157" t="s">
        <v>191</v>
      </c>
      <c r="C18" s="158">
        <f>C17-C10</f>
        <v>-9004.4249999999956</v>
      </c>
      <c r="D18" s="110"/>
    </row>
    <row r="19" spans="1:4" ht="26.25" customHeight="1" x14ac:dyDescent="0.5">
      <c r="B19" s="88"/>
      <c r="C19" s="88"/>
      <c r="D19" s="88"/>
    </row>
    <row r="20" spans="1:4" ht="26.25" customHeight="1" x14ac:dyDescent="0.5">
      <c r="B20" s="88" t="s">
        <v>188</v>
      </c>
      <c r="C20" s="88"/>
      <c r="D20" s="88" t="s">
        <v>178</v>
      </c>
    </row>
    <row r="21" spans="1:4" ht="26.25" customHeight="1" x14ac:dyDescent="0.5">
      <c r="B21" s="88"/>
      <c r="C21" s="88"/>
      <c r="D21" s="88"/>
    </row>
    <row r="22" spans="1:4" ht="26.25" customHeight="1" x14ac:dyDescent="0.5">
      <c r="B22" s="88" t="s">
        <v>189</v>
      </c>
      <c r="C22" s="88"/>
    </row>
    <row r="23" spans="1:4" ht="26.25" customHeight="1" x14ac:dyDescent="0.5">
      <c r="B23" s="88"/>
      <c r="C23" s="88"/>
      <c r="D23" s="88"/>
    </row>
    <row r="24" spans="1:4" ht="26.25" customHeight="1" x14ac:dyDescent="0.5">
      <c r="B24" s="88"/>
      <c r="C24" s="88"/>
      <c r="D24" s="88"/>
    </row>
    <row r="25" spans="1:4" ht="26.25" customHeight="1" x14ac:dyDescent="0.5">
      <c r="B25" s="88"/>
      <c r="C25" s="88"/>
      <c r="D25" s="88"/>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838F-34B7-411B-BA8F-0C067D6C0B60}">
  <dimension ref="A1:K16"/>
  <sheetViews>
    <sheetView workbookViewId="0">
      <selection activeCell="G20" sqref="G20"/>
    </sheetView>
  </sheetViews>
  <sheetFormatPr defaultRowHeight="14.4" x14ac:dyDescent="0.3"/>
  <cols>
    <col min="1" max="1" width="24.33203125" customWidth="1"/>
    <col min="3" max="3" width="1.33203125" style="121" customWidth="1"/>
    <col min="4" max="4" width="23.44140625" customWidth="1"/>
    <col min="5" max="5" width="9.77734375" customWidth="1"/>
    <col min="6" max="6" width="1.77734375" style="121" customWidth="1"/>
    <col min="7" max="7" width="24" bestFit="1" customWidth="1"/>
    <col min="8" max="8" width="10.6640625" customWidth="1"/>
    <col min="9" max="9" width="2.21875" style="121" customWidth="1"/>
    <col min="10" max="10" width="22.77734375" bestFit="1" customWidth="1"/>
    <col min="11" max="11" width="18.77734375" customWidth="1"/>
  </cols>
  <sheetData>
    <row r="1" spans="1:11" x14ac:dyDescent="0.3">
      <c r="A1" s="147" t="s">
        <v>143</v>
      </c>
      <c r="B1" s="147"/>
      <c r="D1" s="148" t="s">
        <v>160</v>
      </c>
      <c r="E1" s="148"/>
      <c r="G1" s="148" t="s">
        <v>169</v>
      </c>
      <c r="H1" s="148"/>
      <c r="J1" s="148" t="s">
        <v>163</v>
      </c>
      <c r="K1" s="148"/>
    </row>
    <row r="2" spans="1:11" x14ac:dyDescent="0.3">
      <c r="A2" s="3" t="s">
        <v>161</v>
      </c>
      <c r="D2" s="3" t="s">
        <v>172</v>
      </c>
      <c r="H2" s="25"/>
      <c r="J2" s="25" t="s">
        <v>164</v>
      </c>
      <c r="K2">
        <v>442</v>
      </c>
    </row>
    <row r="3" spans="1:11" x14ac:dyDescent="0.3">
      <c r="A3" s="25" t="s">
        <v>146</v>
      </c>
      <c r="B3">
        <v>306</v>
      </c>
      <c r="D3" s="25" t="s">
        <v>153</v>
      </c>
      <c r="E3">
        <v>367</v>
      </c>
      <c r="G3" s="25" t="s">
        <v>162</v>
      </c>
      <c r="H3" s="25">
        <v>332</v>
      </c>
      <c r="J3" s="25" t="s">
        <v>165</v>
      </c>
      <c r="K3">
        <v>587</v>
      </c>
    </row>
    <row r="4" spans="1:11" x14ac:dyDescent="0.3">
      <c r="A4" s="25" t="s">
        <v>147</v>
      </c>
      <c r="B4">
        <v>899</v>
      </c>
      <c r="D4" s="25" t="s">
        <v>154</v>
      </c>
      <c r="E4">
        <v>802</v>
      </c>
      <c r="G4" s="25" t="s">
        <v>170</v>
      </c>
      <c r="H4" s="25">
        <v>453</v>
      </c>
      <c r="J4" s="25" t="s">
        <v>166</v>
      </c>
      <c r="K4">
        <v>782</v>
      </c>
    </row>
    <row r="5" spans="1:11" x14ac:dyDescent="0.3">
      <c r="A5" s="25" t="s">
        <v>148</v>
      </c>
      <c r="B5">
        <v>880</v>
      </c>
      <c r="D5" s="25" t="s">
        <v>155</v>
      </c>
      <c r="E5">
        <v>694</v>
      </c>
      <c r="G5" s="25"/>
      <c r="J5" s="25" t="s">
        <v>167</v>
      </c>
      <c r="K5">
        <v>678</v>
      </c>
    </row>
    <row r="6" spans="1:11" x14ac:dyDescent="0.3">
      <c r="A6" s="25" t="s">
        <v>149</v>
      </c>
      <c r="B6">
        <v>488</v>
      </c>
      <c r="D6" s="25" t="s">
        <v>156</v>
      </c>
      <c r="E6">
        <v>370</v>
      </c>
      <c r="J6" s="25" t="s">
        <v>168</v>
      </c>
      <c r="K6">
        <v>700</v>
      </c>
    </row>
    <row r="7" spans="1:11" x14ac:dyDescent="0.3">
      <c r="A7" s="25" t="s">
        <v>150</v>
      </c>
      <c r="B7">
        <v>670</v>
      </c>
      <c r="D7" s="25" t="s">
        <v>157</v>
      </c>
      <c r="E7">
        <v>793</v>
      </c>
      <c r="J7" s="25"/>
    </row>
    <row r="8" spans="1:11" x14ac:dyDescent="0.3">
      <c r="A8" s="25" t="s">
        <v>151</v>
      </c>
      <c r="B8">
        <v>759</v>
      </c>
      <c r="D8" s="25" t="s">
        <v>158</v>
      </c>
      <c r="E8">
        <v>714</v>
      </c>
    </row>
    <row r="9" spans="1:11" x14ac:dyDescent="0.3">
      <c r="A9" s="25" t="s">
        <v>152</v>
      </c>
      <c r="B9">
        <v>746</v>
      </c>
      <c r="D9" s="25" t="s">
        <v>159</v>
      </c>
      <c r="E9">
        <v>332</v>
      </c>
    </row>
    <row r="10" spans="1:11" x14ac:dyDescent="0.3">
      <c r="A10" s="25" t="s">
        <v>144</v>
      </c>
      <c r="B10">
        <v>281</v>
      </c>
    </row>
    <row r="11" spans="1:11" x14ac:dyDescent="0.3">
      <c r="A11" s="120" t="s">
        <v>145</v>
      </c>
      <c r="B11" s="122">
        <f>SUM(B3:B10)</f>
        <v>5029</v>
      </c>
      <c r="D11" s="120" t="s">
        <v>145</v>
      </c>
      <c r="E11" s="3">
        <f>SUM(E3:E9)</f>
        <v>4072</v>
      </c>
      <c r="G11" s="120" t="s">
        <v>145</v>
      </c>
      <c r="H11" s="120">
        <f>SUM(H3:H4)</f>
        <v>785</v>
      </c>
      <c r="J11" s="120" t="s">
        <v>145</v>
      </c>
      <c r="K11" s="3">
        <f>SUM(K2:K6)</f>
        <v>3189</v>
      </c>
    </row>
    <row r="12" spans="1:11" x14ac:dyDescent="0.3">
      <c r="A12" s="120" t="s">
        <v>171</v>
      </c>
      <c r="B12" s="3">
        <f>B11/8</f>
        <v>628.625</v>
      </c>
      <c r="D12" s="120" t="s">
        <v>171</v>
      </c>
      <c r="E12" s="3">
        <f>E11/7</f>
        <v>581.71428571428567</v>
      </c>
      <c r="G12" s="3" t="s">
        <v>171</v>
      </c>
      <c r="H12" s="3">
        <f>H11/2</f>
        <v>392.5</v>
      </c>
      <c r="J12" s="3" t="s">
        <v>171</v>
      </c>
      <c r="K12" s="3">
        <f>K11/5</f>
        <v>637.79999999999995</v>
      </c>
    </row>
    <row r="16" spans="1:11" x14ac:dyDescent="0.3">
      <c r="A16" s="123" t="s">
        <v>173</v>
      </c>
      <c r="B16" s="124">
        <f>(B11+E11+H11+K11)/4</f>
        <v>3268.75</v>
      </c>
    </row>
  </sheetData>
  <mergeCells count="4">
    <mergeCell ref="A1:B1"/>
    <mergeCell ref="D1:E1"/>
    <mergeCell ref="J1:K1"/>
    <mergeCell ref="G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Aktu zāle</vt:lpstr>
      <vt:lpstr>Sporta_zale</vt:lpstr>
      <vt:lpstr>Baseins</vt:lpstr>
      <vt:lpstr>Netiešās izmaksas</vt:lpstr>
      <vt:lpstr>Tāme baseins 2022 plans</vt:lpstr>
      <vt:lpstr>Kopsavilkums</vt:lpstr>
      <vt:lpstr>Baseina apmeklējums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Ina Melkina</cp:lastModifiedBy>
  <cp:lastPrinted>2022-02-22T10:29:31Z</cp:lastPrinted>
  <dcterms:created xsi:type="dcterms:W3CDTF">2022-02-07T19:03:39Z</dcterms:created>
  <dcterms:modified xsi:type="dcterms:W3CDTF">2022-02-22T10:30:37Z</dcterms:modified>
</cp:coreProperties>
</file>