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X:\DOMES_SEDES\AVIZEI un MAJAS LAPAI\2018.gads\09_SEPTEMBRIS\"/>
    </mc:Choice>
  </mc:AlternateContent>
  <xr:revisionPtr revIDLastSave="0" documentId="8_{A6E5805E-A8C0-4ADE-9D03-8A90678A3D1B}" xr6:coauthVersionLast="34" xr6:coauthVersionMax="34" xr10:uidLastSave="{00000000-0000-0000-0000-000000000000}"/>
  <bookViews>
    <workbookView xWindow="0" yWindow="0" windowWidth="28800" windowHeight="12225" xr2:uid="{6E7A8908-38BD-492B-80E1-7855E145197D}"/>
  </bookViews>
  <sheets>
    <sheet name="1_Baseins" sheetId="1" r:id="rId1"/>
    <sheet name="2_Tame_galda_teniss" sheetId="2" r:id="rId2"/>
    <sheet name="3_Tame_sauna" sheetId="3" r:id="rId3"/>
    <sheet name="4_LZ" sheetId="4" r:id="rId4"/>
    <sheet name="5_Gerbtuve" sheetId="5" r:id="rId5"/>
    <sheet name="6_AerobZ" sheetId="6" r:id="rId6"/>
    <sheet name="7_Cinas_zale" sheetId="7" r:id="rId7"/>
  </sheets>
  <externalReferences>
    <externalReference r:id="rId8"/>
    <externalReference r:id="rId9"/>
    <externalReference r:id="rId10"/>
  </externalReferences>
  <definedNames>
    <definedName name="Apmaksa" localSheetId="1">[1]Apmaksa!$A:$A</definedName>
    <definedName name="Apmaksa" localSheetId="2">[1]Apmaksa!$A:$A</definedName>
    <definedName name="Apmaksa">[1]Apmaksa!$A:$A</definedName>
    <definedName name="Darijums" localSheetId="1">[1]Darijums!$A:$A</definedName>
    <definedName name="Darijums" localSheetId="2">[1]Darijums!$A:$A</definedName>
    <definedName name="Darijums">[1]Darijums!$A:$A</definedName>
    <definedName name="Firmas" localSheetId="1">[1]Firma!$A:$A</definedName>
    <definedName name="Firmas" localSheetId="2">[1]Firma!$A:$A</definedName>
    <definedName name="Firmas">[1]Firma!$A:$A</definedName>
    <definedName name="Parvadataji" localSheetId="1">[1]Ligumi!$A:$A</definedName>
    <definedName name="Parvadataji" localSheetId="2">[1]Ligumi!$A:$A</definedName>
    <definedName name="Parvadataji">[1]Ligumi!$A:$A</definedName>
    <definedName name="_xlnm.Print_Area" localSheetId="0">'1_Baseins'!$A$1:$D$54</definedName>
    <definedName name="_xlnm.Print_Area" localSheetId="1">'2_Tame_galda_teniss'!$A$1:$D$53</definedName>
    <definedName name="_xlnm.Print_Area" localSheetId="2">'3_Tame_sauna'!$A$1:$D$38</definedName>
    <definedName name="_xlnm.Print_Area" localSheetId="3">'4_LZ'!$A$1:$Q$57</definedName>
    <definedName name="_xlnm.Print_Area" localSheetId="4">'5_Gerbtuve'!$A$1:$R$59</definedName>
    <definedName name="_xlnm.Print_Area" localSheetId="5">'6_AerobZ'!$A$1:$R$59</definedName>
    <definedName name="_xlnm.Print_Area" localSheetId="6">'7_Cinas_zale'!$A$1:$R$59</definedName>
    <definedName name="Saist_apmers_ar_galvojumu" localSheetId="1">[1]Ligumi!$A:$A</definedName>
    <definedName name="Saist_apmers_ar_galvojumu" localSheetId="2">[1]Ligumi!$A:$A</definedName>
    <definedName name="Saist_apmers_ar_galvojumu">[1]Ligumi!$A:$A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 l="1"/>
  <c r="I51" i="1"/>
  <c r="C88" i="7"/>
  <c r="C87" i="7"/>
  <c r="C86" i="7"/>
  <c r="C85" i="7"/>
  <c r="C84" i="7"/>
  <c r="C83" i="7"/>
  <c r="C82" i="7"/>
  <c r="C81" i="7"/>
  <c r="C80" i="7"/>
  <c r="C79" i="7"/>
  <c r="C78" i="7"/>
  <c r="C89" i="7" s="1"/>
  <c r="B53" i="7" s="1"/>
  <c r="A47" i="7" s="1"/>
  <c r="B10" i="7" s="1"/>
  <c r="C75" i="7"/>
  <c r="C76" i="7" s="1"/>
  <c r="B28" i="7" s="1"/>
  <c r="C72" i="7"/>
  <c r="C71" i="7"/>
  <c r="C70" i="7"/>
  <c r="C69" i="7"/>
  <c r="C68" i="7"/>
  <c r="C66" i="7"/>
  <c r="C65" i="7"/>
  <c r="C64" i="7"/>
  <c r="C63" i="7"/>
  <c r="C62" i="7"/>
  <c r="C73" i="7" s="1"/>
  <c r="B23" i="7" s="1"/>
  <c r="B34" i="7"/>
  <c r="B32" i="7"/>
  <c r="B30" i="7"/>
  <c r="O8" i="7"/>
  <c r="A8" i="7"/>
  <c r="O6" i="7"/>
  <c r="N5" i="7"/>
  <c r="O5" i="7" s="1"/>
  <c r="O4" i="7"/>
  <c r="P4" i="7" s="1"/>
  <c r="O10" i="7" s="1"/>
  <c r="C88" i="6"/>
  <c r="C87" i="6"/>
  <c r="C86" i="6"/>
  <c r="C85" i="6"/>
  <c r="C84" i="6"/>
  <c r="C83" i="6"/>
  <c r="C82" i="6"/>
  <c r="C81" i="6"/>
  <c r="C80" i="6"/>
  <c r="C79" i="6"/>
  <c r="C78" i="6"/>
  <c r="C89" i="6" s="1"/>
  <c r="B53" i="6" s="1"/>
  <c r="A47" i="6" s="1"/>
  <c r="B10" i="6" s="1"/>
  <c r="C75" i="6"/>
  <c r="C76" i="6" s="1"/>
  <c r="B28" i="6" s="1"/>
  <c r="C72" i="6"/>
  <c r="C71" i="6"/>
  <c r="C70" i="6"/>
  <c r="C69" i="6"/>
  <c r="C68" i="6"/>
  <c r="C66" i="6"/>
  <c r="C65" i="6"/>
  <c r="C64" i="6"/>
  <c r="C63" i="6"/>
  <c r="C62" i="6"/>
  <c r="C73" i="6" s="1"/>
  <c r="B23" i="6" s="1"/>
  <c r="B34" i="6"/>
  <c r="B32" i="6"/>
  <c r="B30" i="6"/>
  <c r="A8" i="6"/>
  <c r="N6" i="6"/>
  <c r="O5" i="6"/>
  <c r="P5" i="6" s="1"/>
  <c r="C88" i="5"/>
  <c r="C87" i="5"/>
  <c r="C86" i="5"/>
  <c r="C85" i="5"/>
  <c r="C84" i="5"/>
  <c r="C83" i="5"/>
  <c r="C82" i="5"/>
  <c r="C81" i="5"/>
  <c r="C80" i="5"/>
  <c r="C79" i="5"/>
  <c r="C78" i="5"/>
  <c r="C89" i="5" s="1"/>
  <c r="B53" i="5" s="1"/>
  <c r="A47" i="5" s="1"/>
  <c r="B10" i="5" s="1"/>
  <c r="C75" i="5"/>
  <c r="C76" i="5" s="1"/>
  <c r="B28" i="5" s="1"/>
  <c r="C72" i="5"/>
  <c r="C71" i="5"/>
  <c r="C70" i="5"/>
  <c r="C69" i="5"/>
  <c r="C68" i="5"/>
  <c r="C67" i="5"/>
  <c r="C66" i="5"/>
  <c r="C65" i="5"/>
  <c r="C64" i="5"/>
  <c r="C63" i="5"/>
  <c r="C62" i="5"/>
  <c r="C73" i="5" s="1"/>
  <c r="B23" i="5" s="1"/>
  <c r="B57" i="5"/>
  <c r="B34" i="5"/>
  <c r="B32" i="5"/>
  <c r="B30" i="5"/>
  <c r="A8" i="5"/>
  <c r="C88" i="4"/>
  <c r="C87" i="4"/>
  <c r="C86" i="4"/>
  <c r="C85" i="4"/>
  <c r="C84" i="4"/>
  <c r="C83" i="4"/>
  <c r="C82" i="4"/>
  <c r="C81" i="4"/>
  <c r="C89" i="4" s="1"/>
  <c r="B52" i="4" s="1"/>
  <c r="A46" i="4" s="1"/>
  <c r="B10" i="4" s="1"/>
  <c r="C80" i="4"/>
  <c r="C79" i="4"/>
  <c r="C78" i="4"/>
  <c r="C76" i="4"/>
  <c r="B28" i="4" s="1"/>
  <c r="C75" i="4"/>
  <c r="C72" i="4"/>
  <c r="C70" i="4"/>
  <c r="C69" i="4"/>
  <c r="C68" i="4"/>
  <c r="C67" i="4"/>
  <c r="C65" i="4"/>
  <c r="C64" i="4"/>
  <c r="C63" i="4"/>
  <c r="C62" i="4"/>
  <c r="C61" i="4"/>
  <c r="C73" i="4" s="1"/>
  <c r="B23" i="4" s="1"/>
  <c r="B34" i="4"/>
  <c r="B32" i="4"/>
  <c r="B30" i="4"/>
  <c r="A8" i="4"/>
  <c r="E33" i="3"/>
  <c r="F33" i="3"/>
  <c r="D33" i="3" s="1"/>
  <c r="D34" i="3" s="1"/>
  <c r="K32" i="3"/>
  <c r="G32" i="3"/>
  <c r="D21" i="3"/>
  <c r="D20" i="3"/>
  <c r="D19" i="3"/>
  <c r="D18" i="3"/>
  <c r="D16" i="3"/>
  <c r="D15" i="3"/>
  <c r="D14" i="3"/>
  <c r="D13" i="3" s="1"/>
  <c r="G13" i="3"/>
  <c r="D26" i="3" s="1"/>
  <c r="C11" i="3"/>
  <c r="D9" i="3"/>
  <c r="D11" i="3" s="1"/>
  <c r="C9" i="3"/>
  <c r="H6" i="3"/>
  <c r="K48" i="2"/>
  <c r="H46" i="2"/>
  <c r="G46" i="2"/>
  <c r="F46" i="2"/>
  <c r="E46" i="2"/>
  <c r="K41" i="2"/>
  <c r="H39" i="2"/>
  <c r="G39" i="2"/>
  <c r="F39" i="2"/>
  <c r="E39" i="2"/>
  <c r="K34" i="2"/>
  <c r="D34" i="2"/>
  <c r="D41" i="2" s="1"/>
  <c r="H32" i="2"/>
  <c r="G32" i="2"/>
  <c r="F32" i="2"/>
  <c r="E32" i="2"/>
  <c r="C27" i="2"/>
  <c r="D22" i="2"/>
  <c r="D21" i="2"/>
  <c r="D19" i="2"/>
  <c r="D16" i="2"/>
  <c r="D15" i="2"/>
  <c r="D14" i="2"/>
  <c r="D13" i="2" s="1"/>
  <c r="D10" i="2"/>
  <c r="D9" i="2"/>
  <c r="D11" i="2" s="1"/>
  <c r="C9" i="2"/>
  <c r="C30" i="2" s="1"/>
  <c r="H8" i="2"/>
  <c r="H6" i="2"/>
  <c r="D28" i="2" s="1"/>
  <c r="A14" i="7" l="1"/>
  <c r="B3" i="7" s="1"/>
  <c r="L3" i="7" s="1"/>
  <c r="A14" i="6"/>
  <c r="B3" i="6" s="1"/>
  <c r="A14" i="5"/>
  <c r="B3" i="5" s="1"/>
  <c r="L3" i="5" s="1"/>
  <c r="A14" i="4"/>
  <c r="B3" i="4" s="1"/>
  <c r="L3" i="4" s="1"/>
  <c r="D17" i="3"/>
  <c r="D28" i="3" s="1"/>
  <c r="D29" i="3" s="1"/>
  <c r="D24" i="3"/>
  <c r="D22" i="3" s="1"/>
  <c r="D25" i="3"/>
  <c r="D26" i="2"/>
  <c r="D43" i="2"/>
  <c r="D42" i="2"/>
  <c r="D44" i="2" s="1"/>
  <c r="D24" i="2"/>
  <c r="D27" i="2"/>
  <c r="D35" i="2"/>
  <c r="D20" i="2"/>
  <c r="D18" i="2" s="1"/>
  <c r="D25" i="2"/>
  <c r="D36" i="2"/>
  <c r="D17" i="2"/>
  <c r="G42" i="1"/>
  <c r="J42" i="1"/>
  <c r="G43" i="1"/>
  <c r="J43" i="1"/>
  <c r="E44" i="1"/>
  <c r="G44" i="1"/>
  <c r="I44" i="1"/>
  <c r="H44" i="1" s="1"/>
  <c r="J44" i="1" s="1"/>
  <c r="E45" i="1"/>
  <c r="G45" i="1"/>
  <c r="H45" i="1"/>
  <c r="J45" i="1" s="1"/>
  <c r="E46" i="1"/>
  <c r="G46" i="1"/>
  <c r="H46" i="1"/>
  <c r="J46" i="1" s="1"/>
  <c r="E47" i="1"/>
  <c r="G47" i="1"/>
  <c r="H47" i="1"/>
  <c r="J47" i="1" s="1"/>
  <c r="E48" i="1"/>
  <c r="G48" i="1"/>
  <c r="H48" i="1"/>
  <c r="J48" i="1" s="1"/>
  <c r="E63" i="1"/>
  <c r="D36" i="1" s="1"/>
  <c r="D49" i="1"/>
  <c r="D41" i="1"/>
  <c r="C35" i="1"/>
  <c r="D34" i="1"/>
  <c r="C34" i="1"/>
  <c r="D33" i="1"/>
  <c r="C33" i="1"/>
  <c r="D32" i="1"/>
  <c r="C32" i="1"/>
  <c r="C31" i="1" s="1"/>
  <c r="G30" i="1"/>
  <c r="G31" i="1" s="1"/>
  <c r="D35" i="1" s="1"/>
  <c r="D30" i="1"/>
  <c r="C30" i="1"/>
  <c r="D29" i="1"/>
  <c r="C29" i="1"/>
  <c r="C28" i="1" s="1"/>
  <c r="C27" i="1"/>
  <c r="D26" i="1"/>
  <c r="D25" i="1"/>
  <c r="D21" i="1"/>
  <c r="D19" i="1" s="1"/>
  <c r="C21" i="1"/>
  <c r="C20" i="1"/>
  <c r="C19" i="1" s="1"/>
  <c r="C17" i="1"/>
  <c r="D16" i="1"/>
  <c r="G15" i="1"/>
  <c r="G17" i="1" s="1"/>
  <c r="D15" i="1"/>
  <c r="C14" i="1"/>
  <c r="D9" i="1"/>
  <c r="D10" i="1" s="1"/>
  <c r="C8" i="1"/>
  <c r="D8" i="1" s="1"/>
  <c r="C7" i="1"/>
  <c r="C10" i="1" s="1"/>
  <c r="M3" i="7" l="1"/>
  <c r="M4" i="7" s="1"/>
  <c r="L4" i="7"/>
  <c r="L6" i="6"/>
  <c r="L3" i="6"/>
  <c r="L4" i="5"/>
  <c r="N3" i="5"/>
  <c r="N4" i="5" s="1"/>
  <c r="M3" i="4"/>
  <c r="L4" i="4"/>
  <c r="D30" i="3"/>
  <c r="D31" i="3" s="1"/>
  <c r="D35" i="3"/>
  <c r="D36" i="3"/>
  <c r="D23" i="2"/>
  <c r="D30" i="2"/>
  <c r="D31" i="2" s="1"/>
  <c r="D50" i="2" s="1"/>
  <c r="D37" i="2"/>
  <c r="D49" i="2"/>
  <c r="I49" i="1"/>
  <c r="D28" i="1"/>
  <c r="D14" i="1"/>
  <c r="C23" i="1"/>
  <c r="D31" i="1"/>
  <c r="D17" i="1"/>
  <c r="D23" i="1" s="1"/>
  <c r="D38" i="1" s="1"/>
  <c r="D7" i="1"/>
  <c r="D27" i="1"/>
  <c r="D37" i="1" s="1"/>
  <c r="N3" i="6" l="1"/>
  <c r="O3" i="6" s="1"/>
  <c r="O4" i="6" s="1"/>
  <c r="M3" i="6"/>
  <c r="M4" i="6" s="1"/>
  <c r="L4" i="6"/>
  <c r="N4" i="6" s="1"/>
  <c r="D32" i="2"/>
  <c r="D33" i="2" s="1"/>
  <c r="D39" i="2"/>
  <c r="I50" i="1"/>
  <c r="I52" i="1"/>
  <c r="D39" i="1"/>
  <c r="D40" i="1" s="1"/>
  <c r="D50" i="1"/>
  <c r="D52" i="1"/>
  <c r="D46" i="2" l="1"/>
  <c r="D47" i="2" s="1"/>
  <c r="D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D41" authorId="0" shapeId="0" xr:uid="{E8D44CDA-025C-4526-99C5-6D8C56A16B03}">
      <text>
        <r>
          <rPr>
            <b/>
            <sz val="9"/>
            <color indexed="81"/>
            <rFont val="Tahoma"/>
            <family val="2"/>
            <charset val="186"/>
          </rPr>
          <t>Sarmīte Mūze:</t>
        </r>
        <r>
          <rPr>
            <sz val="9"/>
            <color indexed="81"/>
            <rFont val="Tahoma"/>
            <family val="2"/>
            <charset val="186"/>
          </rPr>
          <t xml:space="preserve">
Maksas apmeklējumi + 0,2% no skolēnu un BJSS apmeklējumiem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Sarmīte Mūze</author>
  </authors>
  <commentList>
    <comment ref="B10" authorId="0" shapeId="0" xr:uid="{C69AA62A-0428-4BEF-A352-B1E9C27818D9}">
      <text>
        <r>
          <rPr>
            <b/>
            <sz val="9"/>
            <color indexed="81"/>
            <rFont val="Tahoma"/>
            <family val="2"/>
          </rPr>
          <t>Sarmīte Mūze:</t>
        </r>
        <r>
          <rPr>
            <sz val="9"/>
            <color indexed="81"/>
            <rFont val="Tahoma"/>
            <family val="2"/>
          </rPr>
          <t xml:space="preserve">
Tīkliņš</t>
        </r>
      </text>
    </comment>
    <comment ref="D45" authorId="0" shapeId="0" xr:uid="{5C983428-2D8B-482B-B0E8-B4507381A2A4}">
      <text>
        <r>
          <rPr>
            <b/>
            <sz val="9"/>
            <color indexed="81"/>
            <rFont val="Tahoma"/>
            <family val="2"/>
          </rPr>
          <t>Sarmīte Mūze:</t>
        </r>
        <r>
          <rPr>
            <sz val="9"/>
            <color indexed="81"/>
            <rFont val="Tahoma"/>
            <family val="2"/>
          </rPr>
          <t xml:space="preserve">
Ja 50% apmēklētāju ir bērni un 50% pieaugušie un 50% īrē inventāru</t>
        </r>
      </text>
    </comment>
    <comment ref="D46" authorId="0" shapeId="0" xr:uid="{91CEB853-5F78-4E55-9CD8-FB7581BDE6F6}">
      <text>
        <r>
          <rPr>
            <b/>
            <sz val="9"/>
            <color indexed="81"/>
            <rFont val="Tahoma"/>
            <family val="2"/>
          </rPr>
          <t>1,5</t>
        </r>
        <r>
          <rPr>
            <sz val="9"/>
            <color indexed="81"/>
            <rFont val="Tahoma"/>
            <family val="2"/>
          </rPr>
          <t xml:space="preserve"> EUR - ģērbtuves izmaksa/stundā</t>
        </r>
      </text>
    </comment>
    <comment ref="D49" authorId="0" shapeId="0" xr:uid="{DBCD45F8-FE86-491B-B77F-E709EF2ADF4F}">
      <text>
        <r>
          <rPr>
            <b/>
            <sz val="9"/>
            <color indexed="81"/>
            <rFont val="Tahoma"/>
            <family val="2"/>
          </rPr>
          <t>Sarmīte Mūze:</t>
        </r>
        <r>
          <rPr>
            <sz val="9"/>
            <color indexed="81"/>
            <rFont val="Tahoma"/>
            <family val="2"/>
          </rPr>
          <t xml:space="preserve">
Ja 50% apmēklētāju ir bērni un 50% pieaugušie un 50% īrē inventāru</t>
        </r>
      </text>
    </comment>
  </commentList>
</comments>
</file>

<file path=xl/sharedStrings.xml><?xml version="1.0" encoding="utf-8"?>
<sst xmlns="http://schemas.openxmlformats.org/spreadsheetml/2006/main" count="567" uniqueCount="218">
  <si>
    <t>Maksas pakalpojuma izcenojuma aprēķins</t>
  </si>
  <si>
    <t>Ādažu sporta centrs</t>
  </si>
  <si>
    <t>Baseins</t>
  </si>
  <si>
    <t>Laika posms: ar 2018.gada 1.septembri</t>
  </si>
  <si>
    <t>Ieņēmumu klasifikācijas kods</t>
  </si>
  <si>
    <t>Rādītājs</t>
  </si>
  <si>
    <t>Ādažu mākslas un mūzikas skola, LVL XX.XX.2014.</t>
  </si>
  <si>
    <t>Prognozētie ieņēmumi gadā, EUR</t>
  </si>
  <si>
    <t>Atalgojums no valsts mērķdotācijas</t>
  </si>
  <si>
    <t>Darba devēja soc.apdrošināšanas iemaksas no mērķdotācijas</t>
  </si>
  <si>
    <t>Mācības maksas</t>
  </si>
  <si>
    <t>Kopā ieņēmumi:</t>
  </si>
  <si>
    <t>Izdevumu klasifikācijas kods</t>
  </si>
  <si>
    <t>Izmaksu apjoms noteiktā laikposmā viena maksas pakalpojuma veida nodrošināšanai, EUR</t>
  </si>
  <si>
    <t>Tiešās izmaksas (T izm)</t>
  </si>
  <si>
    <t>Atalgojums no pašvaldības budžeta līdzekļiem</t>
  </si>
  <si>
    <t>Sporta centrs kvm kopā:</t>
  </si>
  <si>
    <t>Apkopējas alga (3 apkopējas)</t>
  </si>
  <si>
    <t>Iznomājamās telpas kvm kopā:</t>
  </si>
  <si>
    <t>Peldēšanas instruktorsu alga</t>
  </si>
  <si>
    <t>Darba devēja soc.apdrošināšanas iemaksas</t>
  </si>
  <si>
    <t>% no kopējās platības:</t>
  </si>
  <si>
    <t>Komandējumi</t>
  </si>
  <si>
    <t>Pakalpojumi, t.sk.:</t>
  </si>
  <si>
    <t>Iestādes administratīvie izdevumi un ar iestādes darbības nodrošināšanu saistītie izdevumi</t>
  </si>
  <si>
    <t>Remonta darbi un iestāžu uzturēšanas pakalpojumi</t>
  </si>
  <si>
    <t>Izdevumi baseina uzturēšanai, analīzes</t>
  </si>
  <si>
    <t>Tiešās izmaksas kopā</t>
  </si>
  <si>
    <t>Netiešās izmaksas (Nizm )</t>
  </si>
  <si>
    <t>Iestādes vadītāja alga 5 % no gada atlīdzības</t>
  </si>
  <si>
    <t>Administratora alga 30 % no gada atlīdzības</t>
  </si>
  <si>
    <t>Pasta, telefona un citi sakaru pakalpojumi (50%)</t>
  </si>
  <si>
    <t>Izdevumi par komunālajiem pakalpojumiem (50% )</t>
  </si>
  <si>
    <t>Materiāli</t>
  </si>
  <si>
    <t xml:space="preserve">Biroja preces un inventārs </t>
  </si>
  <si>
    <t>Kurināmais un enerģētiskie materiāli (izdevumi par apkuri nav)</t>
  </si>
  <si>
    <t>Zāles, ķimikālijas labor. preces un to uzturēšana (t.sk.dezinfekcijas līdz.)</t>
  </si>
  <si>
    <t>Kārtējā remonta un iestāžu uzturēšanas materiāli</t>
  </si>
  <si>
    <t>Nolietojums</t>
  </si>
  <si>
    <t>Izmaksas kopā</t>
  </si>
  <si>
    <t>Pakalpojuma izcenojums (bez PVN)</t>
  </si>
  <si>
    <t>Pakalpojuma izcenojums (ar PVN)</t>
  </si>
  <si>
    <t>Prognozētais apmeklējumu skaits (gadā):</t>
  </si>
  <si>
    <t>Ieņēmumi ar PVN</t>
  </si>
  <si>
    <t>Prognozētais apmeklējumu skaits (gadā)</t>
  </si>
  <si>
    <t xml:space="preserve">Ieņēmumi </t>
  </si>
  <si>
    <t>Cenas izmaiņa no 01.09.2018. (bez PVN):</t>
  </si>
  <si>
    <t>Cenas izmaiņa no 01.09.2018. (ar PVN):</t>
  </si>
  <si>
    <t>Baseina nodarbības skolēniem (560 apmeklējumi nedēļā (gadā 20'160) /netiek iekasēta maksa/</t>
  </si>
  <si>
    <t>ĀBJSS baseina nodarbības  (13h/nedēļā 156 apmeklējumi nedēļā (gadā 5'616) /netiek iekasēta maksa/</t>
  </si>
  <si>
    <t>Baseina apmeklējums pieaugušajam (12'977 apmeklējumi gadā) /bez PVN/</t>
  </si>
  <si>
    <t>Baseina apmeklējums skolniekiem, studentiem (4'066 apmeklējumi gadā) /bez PVN/</t>
  </si>
  <si>
    <t>Baseina apmeklējums ģimenei (2 pieaugušais + 2 bērni, 154 apmeklējums gadā) /bez PVN/</t>
  </si>
  <si>
    <t>Baseina apmeklējums (1 pieaugušais + 1 bērns līdz 12 g., 785 apmeklējums gadā) /bez PVN/</t>
  </si>
  <si>
    <t>Par katru nākamo bērnu, 556 apmeklējums gadā) /bez PVN/</t>
  </si>
  <si>
    <t>Prognozētie ieņēmumi gadā (euro)</t>
  </si>
  <si>
    <t>Gadā zaudējumi:</t>
  </si>
  <si>
    <t>Ja maksātu ĀVSK un ĀBJSS kopējie ieņēmumi:</t>
  </si>
  <si>
    <t>Gadā peļņa:</t>
  </si>
  <si>
    <t>Iestādes vadītājs ____________________________P.Sluka</t>
  </si>
  <si>
    <t>Baseinā - akustiskā sistēma</t>
  </si>
  <si>
    <t>Baseinā - atskaņotājs</t>
  </si>
  <si>
    <t>Baseinā - atslēgu stendi</t>
  </si>
  <si>
    <t>Baseinā - ģērbtuvēs skapīši</t>
  </si>
  <si>
    <t>Baseinā - LED digitālais pulkstenis</t>
  </si>
  <si>
    <t>Galda teniss</t>
  </si>
  <si>
    <t>Inventārs</t>
  </si>
  <si>
    <t>Sporta inventārs</t>
  </si>
  <si>
    <t>Galda teniss bez inventāra:</t>
  </si>
  <si>
    <t>Tiešās izmaksas (T izm )</t>
  </si>
  <si>
    <t>Netiešās izmaksas (Nizm)</t>
  </si>
  <si>
    <t>Apkopējas algas 3% no gada atlīdzības (25 kvm no 950)</t>
  </si>
  <si>
    <t>Iestādes vadītāja alga 0,5% no gada atlīdzības</t>
  </si>
  <si>
    <t>Administratora alga 3% no gada atlīdzības</t>
  </si>
  <si>
    <t>Pasta, telefona un citi sakaru pakalpojumi (10%)</t>
  </si>
  <si>
    <t>Izdevumi par komunālajiem pakalpojumiem (1,5% (25 kvm))</t>
  </si>
  <si>
    <t>Kurināmais un enerģētiskie materiāli (izdevumi par apkuri 25 kvm, 1,5% no kopējām gada izmaksām)</t>
  </si>
  <si>
    <t>Pārējās preces</t>
  </si>
  <si>
    <t>Galda tenisa galda nolietojums/gadā</t>
  </si>
  <si>
    <t>Netiešās izmaksas kopā</t>
  </si>
  <si>
    <t>Apstiprinātā cena (pieaugušajiem):</t>
  </si>
  <si>
    <t>Apstiprinātā cena (bērniem):</t>
  </si>
  <si>
    <t>Cenas izmaiņa no 01.09.2018.(pieaugušajiem):</t>
  </si>
  <si>
    <t>Cenas izmaiņa no 01.09.2018. (bērniem):</t>
  </si>
  <si>
    <t>Prognozētais noslodzes stundu skaits (gadā):</t>
  </si>
  <si>
    <t>40 nedēļas (10 mēn). Nedēļā ~5h*7dienas=35</t>
  </si>
  <si>
    <t>Galda tenisa telpas noslodze pieaugušajam (800 apmeklējumi gadā) /bez PVN/</t>
  </si>
  <si>
    <t>Galda tenisa telpas noslodze bērnam (800 apmeklējumi gadā) /bez PVN/</t>
  </si>
  <si>
    <t>Zaudējumi, jo tiek piemērota atlaide skolēniem.</t>
  </si>
  <si>
    <t>Pakalpojuma izcenojums ar inventāru (bez PVN)</t>
  </si>
  <si>
    <t>Pakalpojuma izcenojums ar inventāru (ar PVN)</t>
  </si>
  <si>
    <t>Inventāra un telpas noma (350 apmeklējumi gadā) /bez PVN/</t>
  </si>
  <si>
    <t>Inventāra un telpas noma (350 apmeklējumi gadā) /ar PVN/</t>
  </si>
  <si>
    <t>Galda teniss ar ģērbtuvi un dušu:</t>
  </si>
  <si>
    <t>Pakalpojuma izcenojums ar ģērbtuvi un dušu (bez PVN)</t>
  </si>
  <si>
    <t>Pakalpojuma izcenojums ar ģērbtuvi un dušu (ar PVN)</t>
  </si>
  <si>
    <t>Gadā peļņa/(zaudējumi):</t>
  </si>
  <si>
    <t>Ja paliek spēkā esošā cena, tad gadā peļņa:</t>
  </si>
  <si>
    <t>Sauna</t>
  </si>
  <si>
    <t>Akmeņi (maina 3xgadā)</t>
  </si>
  <si>
    <t>Apkopējas alga 1 % no gada atlīdzības</t>
  </si>
  <si>
    <t>Administratora alga 1% no gada atlīdzības</t>
  </si>
  <si>
    <t>Pasta, telefona un citi sakaru pakalpojumi (1%)</t>
  </si>
  <si>
    <t>Izdevumi par komunālajiem pakalpojumiem (1% )</t>
  </si>
  <si>
    <t>Cenas izmaiņa no 01.09.2018.:</t>
  </si>
  <si>
    <t>Saunas noslodze (40 apmeklējumi gadā) /bez PVN/</t>
  </si>
  <si>
    <t>~4 st. /mēnesī (10 mēneši)</t>
  </si>
  <si>
    <t>Ja paliek spēkā esošā cena, tad gadā zaudējumi:</t>
  </si>
  <si>
    <t>Nomas maksas noteikšanas metodika, ja nekustamo īpašumu iznomā privātai vai publiskai personai, tās iestādei vai kapitālsabiedrībai publiskas funkcijas veikšanai</t>
  </si>
  <si>
    <t>Sporta spēļu zāle</t>
  </si>
  <si>
    <t>Mēnesī</t>
  </si>
  <si>
    <t>Dienā</t>
  </si>
  <si>
    <t>Stundā</t>
  </si>
  <si>
    <t>NM =</t>
  </si>
  <si>
    <t>((Tizm/NĪpl + Nizm) x IZNpl)+Zn (ja zeme pieder iznomātājam)</t>
  </si>
  <si>
    <t>, kur</t>
  </si>
  <si>
    <t>Cena par kvm (bez PVN):</t>
  </si>
  <si>
    <t>Iespējamais īres laiks dienā max 6,5h (7%)</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</si>
  <si>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</si>
  <si>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</si>
  <si>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</si>
  <si>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</si>
  <si>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</si>
  <si>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</si>
  <si>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</si>
  <si>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35.rinda);</t>
  </si>
  <si>
    <t>Zn  (ja zeme pieder iznomātājam)</t>
  </si>
  <si>
    <t>(Zemes kadastrālā vērtība*1,5%)/proporciju, bet ne mazāk kā 28 EUR/gadā)/12</t>
  </si>
  <si>
    <t>Tizm</t>
  </si>
  <si>
    <t>tā nekustamā īpašuma tiešās izmaksas gadā, kurā atrodas nomas objekts. Aprēķina saskaņā</t>
  </si>
  <si>
    <t>57. Tā nekustamā īpašuma tiešās izmaksas gadā, kurā atrodas iznomājamais objekts, aprēķina, izmantojot šādu formulu:</t>
  </si>
  <si>
    <t>Tizm = A + Baps + P + N + Apdr + Zn +  C+K/IznP, kur</t>
  </si>
  <si>
    <t>Tizm – attiecīgā nekustamā īpašuma tiešās izmaksas gadā;</t>
  </si>
  <si>
    <t>A</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</si>
  <si>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</si>
  <si>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</si>
  <si>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t>
  </si>
  <si>
    <t xml:space="preserve">apkalpošana un remonts, iekštelpu kosmētiskais remonts, komunālo pakalpojumu līgumu administrēšana un citi pakalpojumi) plānotās izmaksas, plānotās materiālu un ātri </t>
  </si>
  <si>
    <t>nolietojamā inventāra izmaksas gadā, kas rodas nekustamā īpašuma iznomātājam attiecīgā nekustamā īpašuma apsaimniekošanā,</t>
  </si>
  <si>
    <t>Baps</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</si>
  <si>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</si>
  <si>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</si>
  <si>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P</t>
  </si>
  <si>
    <t xml:space="preserve">to pamatlīdzekļu plānotās uzturēšanas izmaksas, tai skaitā nolietojuma summa gadā, kurus izmanto vai plānots izmantot nekustamā īpašuma un tam piegulošās teritorijas sanitārajā </t>
  </si>
  <si>
    <t>uzkopšanā;</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</si>
  <si>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</si>
  <si>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</si>
  <si>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</si>
  <si>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</si>
  <si>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</si>
  <si>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Zn ( ja iznomātājs zemi nomā)</t>
  </si>
  <si>
    <t>zemes vienības nomas maksa gadā, ja iznomājamais objekts atrodas uz citam īpašniekam piederošas zemes vienības;</t>
  </si>
  <si>
    <t>C</t>
  </si>
  <si>
    <t>pēc pušu vienošanās papildus var iekļaut citas izmaksas.</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</si>
  <si>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</si>
  <si>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</si>
  <si>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</si>
  <si>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</si>
  <si>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t>
  </si>
  <si>
    <t xml:space="preserve">objektā, ko iznomā publiskai personai vai tās iestādei, kapitālsabiedrībai vai privātpersonai publiskas funkcijas vai deleģēta valsts pārvaldes uzdevuma veikšanai, tiek finansēti no </t>
  </si>
  <si>
    <t>publiskas 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</si>
  <si>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</si>
  <si>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</si>
  <si>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</si>
  <si>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</si>
  <si>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</si>
  <si>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</si>
  <si>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</si>
  <si>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</si>
  <si>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</si>
  <si>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</si>
  <si>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</si>
  <si>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iznomātāja visu nekustamo īpašumu sastāvā esošo būvju kopējā iznomājamā platība.</t>
  </si>
  <si>
    <t>EKK</t>
  </si>
  <si>
    <t>ūdens</t>
  </si>
  <si>
    <t>elektrība</t>
  </si>
  <si>
    <t>L&amp;T</t>
  </si>
  <si>
    <t>deratizācija utt.</t>
  </si>
  <si>
    <t xml:space="preserve">Ēku, būvju un telpu remonts. </t>
  </si>
  <si>
    <t>Iekārtu, inventāra uzturēšana un remonts</t>
  </si>
  <si>
    <t>Ēku, būvju un telpu uzturēšana, EPS</t>
  </si>
  <si>
    <t>Inženiertīklu uzturēšana, remonts</t>
  </si>
  <si>
    <t>Kurināmais</t>
  </si>
  <si>
    <t>Zāles, ķimikālijas, laboratorijas preces</t>
  </si>
  <si>
    <t>Kārtējā remonta un iestāžu un uzturēšanas materiāl</t>
  </si>
  <si>
    <t>Aiziet uz 21.rindu</t>
  </si>
  <si>
    <t>Apkopējas, tieši saistīto darbinieku izmaksas</t>
  </si>
  <si>
    <t>Aiziet uz 26.rindu</t>
  </si>
  <si>
    <t>Sporta centra vadītājs</t>
  </si>
  <si>
    <t>3 administratori</t>
  </si>
  <si>
    <t>Internets</t>
  </si>
  <si>
    <t>Telefons</t>
  </si>
  <si>
    <t>Darbinieku veselības pārbaude</t>
  </si>
  <si>
    <t>Bankas komisijas</t>
  </si>
  <si>
    <t>Iekārtu un inventāra īre un noma</t>
  </si>
  <si>
    <t>Biroja preces</t>
  </si>
  <si>
    <t>Degviela</t>
  </si>
  <si>
    <t>Aiziet uz 50.rindu</t>
  </si>
  <si>
    <t>Ģērbtuve</t>
  </si>
  <si>
    <t xml:space="preserve">Stundā </t>
  </si>
  <si>
    <t>12 cilvēki</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</si>
  <si>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</si>
  <si>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</si>
  <si>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</si>
  <si>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to nekustamo īpašumu kopējā platība, kas ir iznomātāja pārvaldīšanā</t>
  </si>
  <si>
    <t>Citi izdevumi</t>
  </si>
  <si>
    <t>Apkopējas</t>
  </si>
  <si>
    <t>Aerobikas zāle</t>
  </si>
  <si>
    <t>Stundā (ja īrei pieejamais max laiks ~4h)</t>
  </si>
  <si>
    <t>Skolnieki</t>
  </si>
  <si>
    <t>ĀBJSS</t>
  </si>
  <si>
    <t>Cīnas zāle</t>
  </si>
  <si>
    <t>Stundā (ja īrei pieejamais max laiks ~6h)</t>
  </si>
  <si>
    <t>St./nedēļā</t>
  </si>
  <si>
    <t>St./dienā</t>
  </si>
  <si>
    <t>Džudo (ĀBJSS)</t>
  </si>
  <si>
    <t>Gr-Romiešu  (ĀBJSS)</t>
  </si>
  <si>
    <t>Īrnieki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</si>
</sst>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_-;\-* #,##0_-;_-* &quot;-&quot;??_-;_-@_-"/>
    <numFmt numFmtId="166" formatCode="0.0%"/>
    <numFmt numFmtId="167" formatCode="_-* #,##0.0_-;\-* #,##0.0_-;_-* &quot;-&quot;??_-;_-@_-"/>
  </numFmts>
  <fonts count="41" x14ac:knownFonts="1">
    <font>
      <sz val="9"/>
      <color theme="1"/>
      <name val="Arial"/>
      <family val="2"/>
      <charset val="186"/>
    </font>
    <font>
      <sz val="10"/>
      <name val="Times New Roman"/>
      <family val="1"/>
      <charset val="186"/>
    </font>
    <font>
      <b/>
      <sz val="14"/>
      <name val="Times New Roman"/>
      <family val="1"/>
      <charset val="186"/>
    </font>
    <font>
      <sz val="14"/>
      <name val="Times New Roman"/>
      <family val="1"/>
      <charset val="186"/>
    </font>
    <font>
      <sz val="12"/>
      <name val="Times New Roman"/>
      <family val="1"/>
      <charset val="186"/>
    </font>
    <font>
      <b/>
      <sz val="12"/>
      <name val="Times New Roman"/>
      <family val="1"/>
      <charset val="186"/>
    </font>
    <font>
      <i/>
      <sz val="12"/>
      <name val="Times New Roman"/>
      <family val="1"/>
      <charset val="186"/>
    </font>
    <font>
      <sz val="9"/>
      <color theme="1"/>
      <name val="Arial"/>
      <family val="2"/>
      <charset val="186"/>
    </font>
    <font>
      <b/>
      <sz val="12"/>
      <name val="Times New Roman"/>
      <family val="1"/>
    </font>
    <font>
      <sz val="11"/>
      <color indexed="8"/>
      <name val="Calibri"/>
      <family val="2"/>
      <charset val="186"/>
    </font>
    <font>
      <b/>
      <sz val="9"/>
      <color indexed="81"/>
      <name val="Tahoma"/>
      <family val="2"/>
      <charset val="186"/>
    </font>
    <font>
      <sz val="9"/>
      <color indexed="81"/>
      <name val="Tahoma"/>
      <family val="2"/>
      <charset val="186"/>
    </font>
    <font>
      <sz val="14"/>
      <color theme="0"/>
      <name val="Times New Roman"/>
      <family val="1"/>
    </font>
    <font>
      <b/>
      <sz val="12"/>
      <color theme="0"/>
      <name val="Times New Roman"/>
      <family val="1"/>
    </font>
    <font>
      <sz val="12"/>
      <color theme="0"/>
      <name val="Times New Roman"/>
      <family val="1"/>
    </font>
    <font>
      <i/>
      <sz val="8"/>
      <color theme="0"/>
      <name val="Times New Roman"/>
      <family val="1"/>
    </font>
    <font>
      <b/>
      <sz val="14"/>
      <color theme="0"/>
      <name val="Times New Roman"/>
      <family val="1"/>
    </font>
    <font>
      <sz val="10"/>
      <color theme="0"/>
      <name val="Times New Roman"/>
      <family val="1"/>
    </font>
    <font>
      <sz val="12"/>
      <name val="Times New Roman"/>
      <family val="1"/>
    </font>
    <font>
      <b/>
      <sz val="9"/>
      <color indexed="81"/>
      <name val="Tahoma"/>
      <family val="2"/>
    </font>
    <font>
      <sz val="9"/>
      <color indexed="81"/>
      <name val="Tahoma"/>
      <family val="2"/>
    </font>
    <font>
      <i/>
      <sz val="12"/>
      <color theme="0"/>
      <name val="Times New Roman"/>
      <family val="1"/>
    </font>
    <font>
      <b/>
      <sz val="10"/>
      <color indexed="8"/>
      <name val="Verdana"/>
      <family val="2"/>
      <charset val="186"/>
    </font>
    <font>
      <b/>
      <sz val="11"/>
      <color indexed="8"/>
      <name val="Calibri"/>
      <family val="2"/>
      <charset val="186"/>
    </font>
    <font>
      <sz val="9"/>
      <color indexed="8"/>
      <name val="Verdana"/>
      <family val="2"/>
      <charset val="186"/>
    </font>
    <font>
      <i/>
      <sz val="11"/>
      <color indexed="8"/>
      <name val="Calibri"/>
      <family val="2"/>
    </font>
    <font>
      <sz val="11"/>
      <name val="Calibri"/>
      <family val="2"/>
      <charset val="186"/>
    </font>
    <font>
      <sz val="10"/>
      <color indexed="8"/>
      <name val="Calibri"/>
      <family val="2"/>
      <charset val="186"/>
    </font>
    <font>
      <sz val="11"/>
      <color rgb="FFFF0000"/>
      <name val="Calibri"/>
      <family val="2"/>
      <charset val="186"/>
    </font>
    <font>
      <sz val="10"/>
      <name val="Arial"/>
      <family val="2"/>
      <charset val="186"/>
    </font>
    <font>
      <b/>
      <sz val="10"/>
      <name val="Arial"/>
      <family val="2"/>
      <charset val="186"/>
    </font>
    <font>
      <sz val="11"/>
      <color theme="5"/>
      <name val="Calibri"/>
      <family val="2"/>
      <charset val="186"/>
    </font>
    <font>
      <sz val="10"/>
      <color theme="5"/>
      <name val="Calibri"/>
      <family val="2"/>
      <charset val="186"/>
    </font>
    <font>
      <b/>
      <sz val="11"/>
      <name val="Calibri"/>
      <family val="2"/>
      <charset val="186"/>
    </font>
    <font>
      <sz val="10"/>
      <name val="Calibri"/>
      <family val="2"/>
      <charset val="186"/>
    </font>
    <font>
      <sz val="11"/>
      <color theme="3"/>
      <name val="Calibri"/>
      <family val="2"/>
      <charset val="186"/>
    </font>
    <font>
      <sz val="10"/>
      <color theme="3"/>
      <name val="Arial"/>
      <family val="2"/>
      <charset val="186"/>
    </font>
    <font>
      <sz val="10"/>
      <color theme="3"/>
      <name val="Calibri"/>
      <family val="2"/>
      <charset val="186"/>
    </font>
    <font>
      <b/>
      <sz val="11"/>
      <color theme="3"/>
      <name val="Calibri"/>
      <family val="2"/>
      <charset val="186"/>
    </font>
    <font>
      <sz val="11"/>
      <color theme="0"/>
      <name val="Calibri"/>
      <family val="2"/>
      <charset val="186"/>
    </font>
    <font>
      <sz val="14"/>
      <name val="Times New Roman"/>
      <family val="1"/>
    </font>
  </fonts>
  <fills count="11">
    <fill>
      <patternFill patternType="none"/>
    </fill>
    <fill>
      <patternFill patternType="gray125"/>
    </fill>
    <fill>
      <patternFill patternType="solid">
        <fgColor theme="6" tint="0.39997558519241921"/>
        <bgColor indexed="64"/>
      </patternFill>
    </fill>
    <fill>
      <patternFill patternType="solid">
        <fgColor indexed="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13"/>
        <bgColor indexed="64"/>
      </patternFill>
    </fill>
    <fill>
      <patternFill patternType="solid">
        <fgColor indexed="29"/>
        <bgColor indexed="64"/>
      </patternFill>
    </fill>
    <fill>
      <patternFill patternType="solid">
        <fgColor rgb="FF92D050"/>
        <bgColor indexed="64"/>
      </patternFill>
    </fill>
    <fill>
      <patternFill patternType="solid">
        <fgColor theme="5" tint="0.59999389629810485"/>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7">
    <xf numFmtId="0" fontId="0" fillId="0" borderId="0"/>
    <xf numFmtId="43" fontId="7" fillId="0" borderId="0" applyFont="0" applyFill="0" applyBorder="0" applyAlignment="0" applyProtection="0"/>
    <xf numFmtId="9" fontId="7" fillId="0" borderId="0" applyFont="0" applyFill="0" applyBorder="0" applyAlignment="0" applyProtection="0"/>
    <xf numFmtId="0" fontId="1" fillId="0" borderId="0"/>
    <xf numFmtId="43" fontId="9" fillId="0" borderId="0" applyFont="0" applyFill="0" applyBorder="0" applyAlignment="0" applyProtection="0"/>
    <xf numFmtId="0" fontId="9" fillId="0" borderId="0"/>
    <xf numFmtId="9" fontId="9" fillId="0" borderId="0" applyFont="0" applyFill="0" applyBorder="0" applyAlignment="0" applyProtection="0"/>
  </cellStyleXfs>
  <cellXfs count="197">
    <xf numFmtId="0" fontId="0" fillId="0" borderId="0" xfId="0"/>
    <xf numFmtId="0" fontId="3" fillId="0" borderId="0" xfId="3" applyFont="1"/>
    <xf numFmtId="0" fontId="2" fillId="0" borderId="0" xfId="3" applyFont="1" applyAlignment="1">
      <alignment horizontal="center"/>
    </xf>
    <xf numFmtId="0" fontId="2" fillId="0" borderId="0" xfId="3" applyFont="1" applyAlignment="1">
      <alignment horizontal="center" vertical="center" wrapText="1"/>
    </xf>
    <xf numFmtId="0" fontId="4" fillId="0" borderId="0" xfId="3" applyFont="1" applyAlignment="1">
      <alignment horizontal="right" vertical="center" wrapText="1"/>
    </xf>
    <xf numFmtId="0" fontId="2" fillId="0" borderId="0" xfId="3" applyFont="1" applyAlignment="1"/>
    <xf numFmtId="0" fontId="2" fillId="2" borderId="0" xfId="3" applyFont="1" applyFill="1" applyAlignment="1">
      <alignment horizontal="center"/>
    </xf>
    <xf numFmtId="0" fontId="3" fillId="0" borderId="0" xfId="3" applyFont="1" applyAlignment="1">
      <alignment horizontal="center"/>
    </xf>
    <xf numFmtId="2" fontId="5" fillId="3" borderId="1" xfId="3" applyNumberFormat="1" applyFont="1" applyFill="1" applyBorder="1" applyAlignment="1">
      <alignment horizontal="center" vertical="center" wrapText="1"/>
    </xf>
    <xf numFmtId="0" fontId="5" fillId="3" borderId="2" xfId="3"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3" borderId="3" xfId="3" applyFont="1" applyFill="1" applyBorder="1" applyAlignment="1">
      <alignment horizontal="center" vertical="center" wrapText="1"/>
    </xf>
    <xf numFmtId="0" fontId="4" fillId="0" borderId="0" xfId="3" applyFont="1"/>
    <xf numFmtId="0" fontId="6" fillId="0" borderId="4" xfId="3" applyFont="1" applyBorder="1" applyAlignment="1">
      <alignment horizontal="center"/>
    </xf>
    <xf numFmtId="0" fontId="6" fillId="0" borderId="5" xfId="3" applyFont="1" applyBorder="1" applyAlignment="1">
      <alignment horizontal="left"/>
    </xf>
    <xf numFmtId="4" fontId="6" fillId="0" borderId="4" xfId="3" applyNumberFormat="1" applyFont="1" applyFill="1" applyBorder="1" applyAlignment="1">
      <alignment horizontal="center"/>
    </xf>
    <xf numFmtId="4" fontId="6" fillId="4" borderId="6" xfId="3" applyNumberFormat="1" applyFont="1" applyFill="1" applyBorder="1" applyAlignment="1">
      <alignment horizontal="center"/>
    </xf>
    <xf numFmtId="0" fontId="6" fillId="0" borderId="5" xfId="3" applyFont="1" applyBorder="1" applyAlignment="1">
      <alignment horizontal="left" wrapText="1"/>
    </xf>
    <xf numFmtId="0" fontId="4" fillId="0" borderId="7" xfId="3" applyFont="1" applyBorder="1" applyAlignment="1">
      <alignment horizontal="center"/>
    </xf>
    <xf numFmtId="0" fontId="4" fillId="0" borderId="8" xfId="3" applyFont="1" applyBorder="1" applyAlignment="1">
      <alignment horizontal="left"/>
    </xf>
    <xf numFmtId="4" fontId="4" fillId="0" borderId="7" xfId="3" applyNumberFormat="1" applyFont="1" applyBorder="1" applyAlignment="1">
      <alignment horizontal="center"/>
    </xf>
    <xf numFmtId="4" fontId="4" fillId="0" borderId="9" xfId="3" applyNumberFormat="1" applyFont="1" applyBorder="1" applyAlignment="1">
      <alignment horizontal="center"/>
    </xf>
    <xf numFmtId="0" fontId="5" fillId="0" borderId="10" xfId="3" applyFont="1" applyBorder="1" applyAlignment="1">
      <alignment horizontal="center"/>
    </xf>
    <xf numFmtId="0" fontId="5" fillId="0" borderId="11" xfId="3" applyFont="1" applyBorder="1" applyAlignment="1">
      <alignment horizontal="left"/>
    </xf>
    <xf numFmtId="4" fontId="5" fillId="0" borderId="12" xfId="3" applyNumberFormat="1" applyFont="1" applyBorder="1" applyAlignment="1">
      <alignment horizontal="center"/>
    </xf>
    <xf numFmtId="4" fontId="5" fillId="0" borderId="13" xfId="3" applyNumberFormat="1" applyFont="1" applyBorder="1" applyAlignment="1">
      <alignment horizontal="center"/>
    </xf>
    <xf numFmtId="0" fontId="5" fillId="0" borderId="0" xfId="3" applyFont="1" applyBorder="1" applyAlignment="1">
      <alignment horizontal="center"/>
    </xf>
    <xf numFmtId="0" fontId="5" fillId="0" borderId="0" xfId="3" applyFont="1" applyBorder="1" applyAlignment="1">
      <alignment horizontal="left"/>
    </xf>
    <xf numFmtId="4" fontId="5" fillId="0" borderId="0" xfId="3" applyNumberFormat="1" applyFont="1" applyBorder="1" applyAlignment="1">
      <alignment horizontal="center"/>
    </xf>
    <xf numFmtId="2" fontId="5" fillId="5" borderId="14" xfId="3" applyNumberFormat="1" applyFont="1" applyFill="1" applyBorder="1" applyAlignment="1">
      <alignment horizontal="center" vertical="center" wrapText="1"/>
    </xf>
    <xf numFmtId="0" fontId="5" fillId="5" borderId="14" xfId="3" applyFont="1" applyFill="1" applyBorder="1" applyAlignment="1">
      <alignment horizontal="center" vertical="center" wrapText="1"/>
    </xf>
    <xf numFmtId="2" fontId="5" fillId="0" borderId="14" xfId="3" applyNumberFormat="1" applyFont="1" applyFill="1" applyBorder="1" applyAlignment="1">
      <alignment horizontal="center" vertical="center" wrapText="1"/>
    </xf>
    <xf numFmtId="0" fontId="5" fillId="0" borderId="14" xfId="3" applyFont="1" applyFill="1" applyBorder="1" applyAlignment="1">
      <alignment horizontal="center" vertical="center" wrapText="1"/>
    </xf>
    <xf numFmtId="3" fontId="5" fillId="0" borderId="14" xfId="3" applyNumberFormat="1" applyFont="1" applyFill="1" applyBorder="1" applyAlignment="1">
      <alignment horizontal="center" vertical="center" wrapText="1"/>
    </xf>
    <xf numFmtId="0" fontId="4" fillId="0" borderId="14" xfId="3" applyFont="1" applyBorder="1" applyAlignment="1">
      <alignment horizontal="center"/>
    </xf>
    <xf numFmtId="0" fontId="4" fillId="0" borderId="14" xfId="3" applyFont="1" applyBorder="1" applyAlignment="1">
      <alignment horizontal="left" wrapText="1"/>
    </xf>
    <xf numFmtId="4" fontId="4" fillId="0" borderId="14" xfId="3" applyNumberFormat="1" applyFont="1" applyFill="1" applyBorder="1" applyAlignment="1">
      <alignment horizontal="center"/>
    </xf>
    <xf numFmtId="3" fontId="4" fillId="0" borderId="14" xfId="3" applyNumberFormat="1" applyFont="1" applyFill="1" applyBorder="1" applyAlignment="1">
      <alignment horizontal="center"/>
    </xf>
    <xf numFmtId="0" fontId="6" fillId="0" borderId="14" xfId="3" applyFont="1" applyBorder="1" applyAlignment="1">
      <alignment horizontal="center"/>
    </xf>
    <xf numFmtId="0" fontId="6" fillId="0" borderId="14" xfId="3" applyFont="1" applyBorder="1" applyAlignment="1">
      <alignment horizontal="left"/>
    </xf>
    <xf numFmtId="4" fontId="6" fillId="0" borderId="14" xfId="3" applyNumberFormat="1" applyFont="1" applyFill="1" applyBorder="1" applyAlignment="1">
      <alignment horizontal="center"/>
    </xf>
    <xf numFmtId="3" fontId="6" fillId="6" borderId="14" xfId="3" applyNumberFormat="1" applyFont="1" applyFill="1" applyBorder="1" applyAlignment="1">
      <alignment horizontal="right"/>
    </xf>
    <xf numFmtId="3" fontId="4" fillId="6" borderId="14" xfId="3" applyNumberFormat="1" applyFont="1" applyFill="1" applyBorder="1" applyAlignment="1">
      <alignment horizontal="center"/>
    </xf>
    <xf numFmtId="0" fontId="4" fillId="0" borderId="14" xfId="3" applyFont="1" applyBorder="1" applyAlignment="1">
      <alignment horizontal="left"/>
    </xf>
    <xf numFmtId="0" fontId="6" fillId="0" borderId="14" xfId="3" applyFont="1" applyBorder="1" applyAlignment="1">
      <alignment horizontal="right"/>
    </xf>
    <xf numFmtId="0" fontId="6" fillId="0" borderId="14" xfId="3" applyFont="1" applyBorder="1" applyAlignment="1">
      <alignment horizontal="right" wrapText="1"/>
    </xf>
    <xf numFmtId="0" fontId="6" fillId="6" borderId="14" xfId="3" applyFont="1" applyFill="1" applyBorder="1" applyAlignment="1">
      <alignment horizontal="right"/>
    </xf>
    <xf numFmtId="4" fontId="6" fillId="4" borderId="14" xfId="3" applyNumberFormat="1" applyFont="1" applyFill="1" applyBorder="1" applyAlignment="1">
      <alignment horizontal="center"/>
    </xf>
    <xf numFmtId="0" fontId="5" fillId="5" borderId="14" xfId="3" applyFont="1" applyFill="1" applyBorder="1" applyAlignment="1">
      <alignment horizontal="center"/>
    </xf>
    <xf numFmtId="0" fontId="5" fillId="5" borderId="14" xfId="3" applyFont="1" applyFill="1" applyBorder="1" applyAlignment="1">
      <alignment horizontal="right"/>
    </xf>
    <xf numFmtId="4" fontId="5" fillId="5" borderId="14" xfId="3" applyNumberFormat="1" applyFont="1" applyFill="1" applyBorder="1" applyAlignment="1">
      <alignment horizontal="center"/>
    </xf>
    <xf numFmtId="3" fontId="5" fillId="5" borderId="14" xfId="3" applyNumberFormat="1" applyFont="1" applyFill="1" applyBorder="1" applyAlignment="1">
      <alignment horizontal="center"/>
    </xf>
    <xf numFmtId="0" fontId="4" fillId="5" borderId="14" xfId="3" applyFont="1" applyFill="1" applyBorder="1" applyAlignment="1">
      <alignment horizontal="center"/>
    </xf>
    <xf numFmtId="4" fontId="4" fillId="5" borderId="14" xfId="3" applyNumberFormat="1" applyFont="1" applyFill="1" applyBorder="1" applyAlignment="1">
      <alignment horizontal="center"/>
    </xf>
    <xf numFmtId="0" fontId="6" fillId="6" borderId="14" xfId="3" applyFont="1" applyFill="1" applyBorder="1" applyAlignment="1">
      <alignment horizontal="right" wrapText="1"/>
    </xf>
    <xf numFmtId="3" fontId="5" fillId="6" borderId="14" xfId="3" applyNumberFormat="1" applyFont="1" applyFill="1" applyBorder="1" applyAlignment="1">
      <alignment horizontal="center"/>
    </xf>
    <xf numFmtId="3" fontId="5" fillId="0" borderId="14" xfId="3" applyNumberFormat="1" applyFont="1" applyBorder="1" applyAlignment="1">
      <alignment horizontal="center"/>
    </xf>
    <xf numFmtId="4" fontId="6" fillId="6" borderId="14" xfId="3" applyNumberFormat="1" applyFont="1" applyFill="1" applyBorder="1" applyAlignment="1">
      <alignment horizontal="center"/>
    </xf>
    <xf numFmtId="3" fontId="8" fillId="0" borderId="0" xfId="3" applyNumberFormat="1" applyFont="1" applyAlignment="1">
      <alignment horizontal="center"/>
    </xf>
    <xf numFmtId="0" fontId="12" fillId="0" borderId="0" xfId="3" applyFont="1"/>
    <xf numFmtId="3" fontId="13" fillId="0" borderId="0" xfId="3" applyNumberFormat="1" applyFont="1" applyAlignment="1">
      <alignment horizontal="center"/>
    </xf>
    <xf numFmtId="0" fontId="14" fillId="0" borderId="0" xfId="3" applyFont="1"/>
    <xf numFmtId="0" fontId="15" fillId="0" borderId="0" xfId="0" applyNumberFormat="1" applyFont="1" applyFill="1" applyBorder="1" applyAlignment="1" applyProtection="1">
      <alignment horizontal="left" wrapText="1"/>
    </xf>
    <xf numFmtId="165" fontId="15" fillId="0" borderId="17" xfId="4" applyNumberFormat="1" applyFont="1" applyFill="1" applyBorder="1" applyAlignment="1" applyProtection="1">
      <alignment horizontal="right" wrapText="1"/>
    </xf>
    <xf numFmtId="165" fontId="16" fillId="0" borderId="0" xfId="3" applyNumberFormat="1" applyFont="1"/>
    <xf numFmtId="0" fontId="12" fillId="0" borderId="0" xfId="3" applyFont="1" applyFill="1"/>
    <xf numFmtId="0" fontId="13" fillId="0" borderId="0" xfId="3" applyFont="1" applyFill="1" applyBorder="1" applyAlignment="1">
      <alignment horizontal="center" wrapText="1"/>
    </xf>
    <xf numFmtId="0" fontId="13" fillId="0" borderId="0" xfId="3" applyFont="1" applyFill="1" applyBorder="1" applyAlignment="1">
      <alignment horizontal="center"/>
    </xf>
    <xf numFmtId="3" fontId="13" fillId="0" borderId="0" xfId="3" applyNumberFormat="1" applyFont="1" applyFill="1" applyAlignment="1">
      <alignment horizontal="center"/>
    </xf>
    <xf numFmtId="0" fontId="13" fillId="0" borderId="0" xfId="3" applyFont="1" applyAlignment="1">
      <alignment horizontal="center" wrapText="1"/>
    </xf>
    <xf numFmtId="165" fontId="14" fillId="0" borderId="0" xfId="1" applyNumberFormat="1" applyFont="1"/>
    <xf numFmtId="0" fontId="13" fillId="0" borderId="0" xfId="3" applyFont="1" applyFill="1" applyAlignment="1">
      <alignment horizontal="center" wrapText="1"/>
    </xf>
    <xf numFmtId="0" fontId="14" fillId="0" borderId="0" xfId="3" applyFont="1" applyFill="1"/>
    <xf numFmtId="0" fontId="14" fillId="0" borderId="0" xfId="3" applyFont="1" applyFill="1" applyBorder="1"/>
    <xf numFmtId="0" fontId="12" fillId="0" borderId="0" xfId="3" applyFont="1" applyFill="1" applyBorder="1"/>
    <xf numFmtId="165" fontId="14" fillId="0" borderId="0" xfId="1" applyNumberFormat="1" applyFont="1" applyFill="1" applyBorder="1"/>
    <xf numFmtId="43" fontId="17" fillId="0" borderId="0" xfId="3" applyNumberFormat="1" applyFont="1" applyFill="1" applyBorder="1"/>
    <xf numFmtId="43" fontId="14" fillId="0" borderId="0" xfId="1" applyFont="1" applyFill="1" applyBorder="1"/>
    <xf numFmtId="3" fontId="13" fillId="0" borderId="0" xfId="3" applyNumberFormat="1" applyFont="1" applyFill="1" applyBorder="1" applyAlignment="1">
      <alignment horizontal="center"/>
    </xf>
    <xf numFmtId="0" fontId="14" fillId="0" borderId="0" xfId="3" applyFont="1" applyAlignment="1">
      <alignment horizontal="right"/>
    </xf>
    <xf numFmtId="165" fontId="14" fillId="0" borderId="0" xfId="1" applyNumberFormat="1" applyFont="1" applyAlignment="1">
      <alignment horizontal="right"/>
    </xf>
    <xf numFmtId="165" fontId="14" fillId="0" borderId="0" xfId="1" applyNumberFormat="1" applyFont="1" applyAlignment="1">
      <alignment horizontal="left"/>
    </xf>
    <xf numFmtId="0" fontId="14" fillId="0" borderId="0" xfId="3" applyFont="1" applyAlignment="1">
      <alignment horizontal="left"/>
    </xf>
    <xf numFmtId="166" fontId="14" fillId="0" borderId="0" xfId="2" applyNumberFormat="1" applyFont="1" applyAlignment="1">
      <alignment horizontal="right"/>
    </xf>
    <xf numFmtId="166" fontId="14" fillId="0" borderId="0" xfId="2" applyNumberFormat="1" applyFont="1" applyAlignment="1">
      <alignment horizontal="left"/>
    </xf>
    <xf numFmtId="9" fontId="14" fillId="0" borderId="0" xfId="2" applyFont="1"/>
    <xf numFmtId="3" fontId="18" fillId="0" borderId="14" xfId="3" applyNumberFormat="1" applyFont="1" applyFill="1" applyBorder="1" applyAlignment="1">
      <alignment horizontal="center" vertical="center" wrapText="1"/>
    </xf>
    <xf numFmtId="3" fontId="4" fillId="0" borderId="0" xfId="3" applyNumberFormat="1" applyFont="1" applyFill="1" applyBorder="1" applyAlignment="1">
      <alignment horizontal="center"/>
    </xf>
    <xf numFmtId="3" fontId="5" fillId="6" borderId="0" xfId="3" applyNumberFormat="1" applyFont="1" applyFill="1" applyBorder="1" applyAlignment="1">
      <alignment horizontal="center"/>
    </xf>
    <xf numFmtId="0" fontId="4" fillId="0" borderId="0" xfId="3" applyFont="1" applyFill="1"/>
    <xf numFmtId="0" fontId="14" fillId="0" borderId="0" xfId="3" applyFont="1" applyFill="1" applyAlignment="1">
      <alignment horizontal="left"/>
    </xf>
    <xf numFmtId="0" fontId="14" fillId="0" borderId="0" xfId="3" applyFont="1" applyFill="1" applyAlignment="1">
      <alignment horizontal="right"/>
    </xf>
    <xf numFmtId="166" fontId="14" fillId="0" borderId="0" xfId="2" applyNumberFormat="1" applyFont="1" applyFill="1" applyAlignment="1">
      <alignment horizontal="left"/>
    </xf>
    <xf numFmtId="0" fontId="14" fillId="0" borderId="0" xfId="3" applyFont="1" applyFill="1" applyBorder="1" applyAlignment="1">
      <alignment horizontal="left"/>
    </xf>
    <xf numFmtId="0" fontId="14" fillId="0" borderId="0" xfId="3" applyFont="1" applyFill="1" applyBorder="1" applyAlignment="1">
      <alignment horizontal="right"/>
    </xf>
    <xf numFmtId="166" fontId="14" fillId="0" borderId="0" xfId="2" applyNumberFormat="1" applyFont="1" applyFill="1" applyBorder="1" applyAlignment="1">
      <alignment horizontal="left"/>
    </xf>
    <xf numFmtId="3" fontId="14" fillId="0" borderId="0" xfId="3" applyNumberFormat="1" applyFont="1" applyFill="1" applyBorder="1"/>
    <xf numFmtId="0" fontId="13" fillId="0" borderId="0" xfId="3" applyFont="1" applyFill="1" applyBorder="1"/>
    <xf numFmtId="4" fontId="13" fillId="0" borderId="18" xfId="3" applyNumberFormat="1" applyFont="1" applyFill="1" applyBorder="1" applyAlignment="1">
      <alignment horizontal="center"/>
    </xf>
    <xf numFmtId="4" fontId="13" fillId="0" borderId="0" xfId="3" applyNumberFormat="1" applyFont="1" applyFill="1" applyBorder="1" applyAlignment="1">
      <alignment horizontal="center"/>
    </xf>
    <xf numFmtId="9" fontId="13" fillId="0" borderId="0" xfId="2" applyFont="1" applyFill="1" applyBorder="1" applyAlignment="1">
      <alignment horizontal="left"/>
    </xf>
    <xf numFmtId="0" fontId="21" fillId="0" borderId="0" xfId="3" applyFont="1" applyFill="1" applyBorder="1"/>
    <xf numFmtId="0" fontId="13" fillId="0" borderId="0" xfId="3" applyFont="1" applyBorder="1" applyAlignment="1">
      <alignment horizontal="center"/>
    </xf>
    <xf numFmtId="0" fontId="4" fillId="0" borderId="14" xfId="3" applyFont="1" applyFill="1" applyBorder="1" applyAlignment="1">
      <alignment horizontal="center"/>
    </xf>
    <xf numFmtId="0" fontId="5" fillId="0" borderId="14" xfId="3" applyFont="1" applyFill="1" applyBorder="1" applyAlignment="1">
      <alignment horizontal="center"/>
    </xf>
    <xf numFmtId="3" fontId="5" fillId="0" borderId="14" xfId="3" applyNumberFormat="1" applyFont="1" applyFill="1" applyBorder="1" applyAlignment="1">
      <alignment horizontal="center"/>
    </xf>
    <xf numFmtId="9" fontId="14" fillId="0" borderId="0" xfId="2" applyFont="1" applyFill="1"/>
    <xf numFmtId="0" fontId="22" fillId="0" borderId="0" xfId="5" applyFont="1"/>
    <xf numFmtId="0" fontId="9" fillId="0" borderId="0" xfId="5"/>
    <xf numFmtId="0" fontId="23" fillId="0" borderId="0" xfId="5" applyFont="1"/>
    <xf numFmtId="0" fontId="9" fillId="0" borderId="0" xfId="5" applyFill="1"/>
    <xf numFmtId="0" fontId="23" fillId="0" borderId="0" xfId="5" applyFont="1" applyAlignment="1">
      <alignment horizontal="center"/>
    </xf>
    <xf numFmtId="165" fontId="9" fillId="3" borderId="0" xfId="4" applyNumberFormat="1" applyFont="1" applyFill="1"/>
    <xf numFmtId="0" fontId="24" fillId="0" borderId="0" xfId="5" applyFont="1" applyFill="1" applyAlignment="1">
      <alignment horizontal="right" vertical="center" indent="1"/>
    </xf>
    <xf numFmtId="0" fontId="24" fillId="0" borderId="19" xfId="5" applyFont="1" applyFill="1" applyBorder="1" applyAlignment="1">
      <alignment horizontal="left" vertical="center"/>
    </xf>
    <xf numFmtId="0" fontId="9" fillId="0" borderId="0" xfId="5" applyAlignment="1">
      <alignment horizontal="right"/>
    </xf>
    <xf numFmtId="43" fontId="9" fillId="7" borderId="0" xfId="4" applyFont="1" applyFill="1"/>
    <xf numFmtId="43" fontId="0" fillId="0" borderId="0" xfId="4" applyFont="1"/>
    <xf numFmtId="43" fontId="25" fillId="0" borderId="0" xfId="5" applyNumberFormat="1" applyFont="1"/>
    <xf numFmtId="43" fontId="9" fillId="0" borderId="0" xfId="4" applyNumberFormat="1" applyFont="1"/>
    <xf numFmtId="43" fontId="9" fillId="7" borderId="0" xfId="5" applyNumberFormat="1" applyFill="1"/>
    <xf numFmtId="43" fontId="9" fillId="0" borderId="0" xfId="5" applyNumberFormat="1"/>
    <xf numFmtId="165" fontId="26" fillId="8" borderId="0" xfId="4" applyNumberFormat="1" applyFont="1" applyFill="1"/>
    <xf numFmtId="0" fontId="24" fillId="0" borderId="0" xfId="5" applyFont="1" applyAlignment="1">
      <alignment vertical="center"/>
    </xf>
    <xf numFmtId="165" fontId="9" fillId="0" borderId="0" xfId="4" applyNumberFormat="1" applyFont="1"/>
    <xf numFmtId="9" fontId="9" fillId="0" borderId="0" xfId="6" applyFont="1"/>
    <xf numFmtId="165" fontId="9" fillId="8" borderId="0" xfId="4" applyNumberFormat="1" applyFont="1" applyFill="1"/>
    <xf numFmtId="0" fontId="24" fillId="0" borderId="0" xfId="5" applyFont="1" applyAlignment="1"/>
    <xf numFmtId="167" fontId="9" fillId="4" borderId="0" xfId="4" applyNumberFormat="1" applyFont="1" applyFill="1"/>
    <xf numFmtId="0" fontId="9" fillId="0" borderId="0" xfId="5" applyAlignment="1">
      <alignment wrapText="1"/>
    </xf>
    <xf numFmtId="0" fontId="9" fillId="0" borderId="0" xfId="5" applyAlignment="1"/>
    <xf numFmtId="0" fontId="9" fillId="0" borderId="0" xfId="5" applyAlignment="1">
      <alignment vertical="center"/>
    </xf>
    <xf numFmtId="0" fontId="24" fillId="0" borderId="0" xfId="5" applyFont="1" applyAlignment="1">
      <alignment horizontal="left" vertical="center"/>
    </xf>
    <xf numFmtId="0" fontId="9" fillId="0" borderId="0" xfId="5" applyFill="1" applyAlignment="1">
      <alignment vertical="center"/>
    </xf>
    <xf numFmtId="0" fontId="24" fillId="0" borderId="0" xfId="5" applyFont="1" applyAlignment="1">
      <alignment horizontal="left" vertical="center" indent="1"/>
    </xf>
    <xf numFmtId="0" fontId="9" fillId="0" borderId="0" xfId="5" applyAlignment="1">
      <alignment horizontal="left" wrapText="1"/>
    </xf>
    <xf numFmtId="0" fontId="9" fillId="4" borderId="0" xfId="5" applyFill="1"/>
    <xf numFmtId="43" fontId="0" fillId="8" borderId="0" xfId="4" applyFont="1" applyFill="1"/>
    <xf numFmtId="0" fontId="24" fillId="0" borderId="0" xfId="5" applyFont="1"/>
    <xf numFmtId="165" fontId="0" fillId="8" borderId="0" xfId="4" applyNumberFormat="1" applyFont="1" applyFill="1"/>
    <xf numFmtId="0" fontId="24" fillId="0" borderId="0" xfId="5" applyFont="1" applyFill="1" applyAlignment="1">
      <alignment horizontal="left" vertical="center" wrapText="1"/>
    </xf>
    <xf numFmtId="165" fontId="9" fillId="8" borderId="0" xfId="5" applyNumberFormat="1" applyFill="1"/>
    <xf numFmtId="0" fontId="27" fillId="0" borderId="0" xfId="5" applyFont="1"/>
    <xf numFmtId="0" fontId="23" fillId="0" borderId="0" xfId="5" applyFont="1" applyAlignment="1">
      <alignment horizontal="right"/>
    </xf>
    <xf numFmtId="0" fontId="28" fillId="0" borderId="0" xfId="5" applyFont="1"/>
    <xf numFmtId="165" fontId="29" fillId="0" borderId="0" xfId="4" applyNumberFormat="1" applyFont="1" applyAlignment="1">
      <alignment horizontal="left"/>
    </xf>
    <xf numFmtId="0" fontId="27" fillId="0" borderId="0" xfId="5" applyFont="1" applyAlignment="1">
      <alignment horizontal="left"/>
    </xf>
    <xf numFmtId="0" fontId="9" fillId="5" borderId="0" xfId="5" applyFill="1"/>
    <xf numFmtId="165" fontId="30" fillId="5" borderId="0" xfId="4" applyNumberFormat="1" applyFont="1" applyFill="1" applyAlignment="1">
      <alignment horizontal="left"/>
    </xf>
    <xf numFmtId="0" fontId="9" fillId="0" borderId="0" xfId="5" applyAlignment="1">
      <alignment horizontal="left"/>
    </xf>
    <xf numFmtId="165" fontId="31" fillId="0" borderId="0" xfId="4" applyNumberFormat="1" applyFont="1" applyAlignment="1">
      <alignment horizontal="left"/>
    </xf>
    <xf numFmtId="0" fontId="32" fillId="0" borderId="0" xfId="5" applyFont="1" applyAlignment="1">
      <alignment horizontal="left"/>
    </xf>
    <xf numFmtId="165" fontId="26" fillId="0" borderId="0" xfId="4" applyNumberFormat="1" applyFont="1" applyAlignment="1">
      <alignment horizontal="left"/>
    </xf>
    <xf numFmtId="165" fontId="28" fillId="0" borderId="0" xfId="4" applyNumberFormat="1" applyFont="1" applyAlignment="1">
      <alignment horizontal="left"/>
    </xf>
    <xf numFmtId="0" fontId="26" fillId="0" borderId="0" xfId="5" applyFont="1"/>
    <xf numFmtId="0" fontId="33" fillId="0" borderId="0" xfId="5" applyFont="1" applyAlignment="1">
      <alignment horizontal="right"/>
    </xf>
    <xf numFmtId="0" fontId="34" fillId="0" borderId="0" xfId="5" applyFont="1"/>
    <xf numFmtId="165" fontId="26" fillId="0" borderId="0" xfId="4" applyNumberFormat="1" applyFont="1"/>
    <xf numFmtId="0" fontId="29" fillId="0" borderId="0" xfId="5" applyFont="1" applyAlignment="1">
      <alignment horizontal="left"/>
    </xf>
    <xf numFmtId="0" fontId="29" fillId="0" borderId="0" xfId="5" applyFont="1"/>
    <xf numFmtId="0" fontId="34" fillId="0" borderId="0" xfId="5" applyFont="1" applyAlignment="1">
      <alignment horizontal="left"/>
    </xf>
    <xf numFmtId="0" fontId="26" fillId="5" borderId="0" xfId="5" applyFont="1" applyFill="1"/>
    <xf numFmtId="0" fontId="26" fillId="0" borderId="0" xfId="5" applyFont="1" applyAlignment="1">
      <alignment horizontal="left"/>
    </xf>
    <xf numFmtId="165" fontId="26" fillId="9" borderId="0" xfId="4" applyNumberFormat="1" applyFont="1" applyFill="1"/>
    <xf numFmtId="165" fontId="9" fillId="9" borderId="0" xfId="4" applyNumberFormat="1" applyFont="1" applyFill="1"/>
    <xf numFmtId="165" fontId="29" fillId="10" borderId="0" xfId="4" applyNumberFormat="1" applyFont="1" applyFill="1" applyAlignment="1">
      <alignment horizontal="left"/>
    </xf>
    <xf numFmtId="0" fontId="35" fillId="0" borderId="0" xfId="5" applyFont="1"/>
    <xf numFmtId="165" fontId="36" fillId="0" borderId="0" xfId="4" applyNumberFormat="1" applyFont="1" applyAlignment="1">
      <alignment horizontal="left"/>
    </xf>
    <xf numFmtId="0" fontId="37" fillId="0" borderId="0" xfId="5" applyFont="1" applyAlignment="1">
      <alignment horizontal="left"/>
    </xf>
    <xf numFmtId="0" fontId="38" fillId="0" borderId="0" xfId="5" applyFont="1"/>
    <xf numFmtId="0" fontId="24" fillId="0" borderId="19" xfId="5" applyFont="1" applyFill="1" applyBorder="1" applyAlignment="1">
      <alignment horizontal="center" vertical="center"/>
    </xf>
    <xf numFmtId="43" fontId="35" fillId="0" borderId="0" xfId="4" applyNumberFormat="1" applyFont="1"/>
    <xf numFmtId="43" fontId="39" fillId="0" borderId="0" xfId="4" applyNumberFormat="1" applyFont="1"/>
    <xf numFmtId="43" fontId="35" fillId="0" borderId="0" xfId="5" applyNumberFormat="1" applyFont="1"/>
    <xf numFmtId="0" fontId="39" fillId="0" borderId="0" xfId="5" applyFont="1"/>
    <xf numFmtId="165" fontId="9" fillId="0" borderId="0" xfId="5" applyNumberFormat="1"/>
    <xf numFmtId="165" fontId="39" fillId="0" borderId="0" xfId="5" applyNumberFormat="1" applyFont="1"/>
    <xf numFmtId="164" fontId="9" fillId="0" borderId="0" xfId="5" applyNumberFormat="1" applyAlignment="1">
      <alignment horizontal="right"/>
    </xf>
    <xf numFmtId="0" fontId="40" fillId="0" borderId="0" xfId="3" applyFont="1"/>
    <xf numFmtId="0" fontId="6" fillId="0" borderId="5" xfId="3" applyFont="1" applyBorder="1" applyAlignment="1">
      <alignment horizontal="right" wrapText="1"/>
    </xf>
    <xf numFmtId="0" fontId="6" fillId="0" borderId="15" xfId="3" applyFont="1" applyBorder="1" applyAlignment="1">
      <alignment horizontal="right" wrapText="1"/>
    </xf>
    <xf numFmtId="0" fontId="5" fillId="5" borderId="5" xfId="3" applyFont="1" applyFill="1" applyBorder="1" applyAlignment="1">
      <alignment horizontal="center"/>
    </xf>
    <xf numFmtId="0" fontId="5" fillId="5" borderId="15" xfId="3" applyFont="1" applyFill="1" applyBorder="1" applyAlignment="1">
      <alignment horizontal="center"/>
    </xf>
    <xf numFmtId="0" fontId="13" fillId="0" borderId="16" xfId="3" applyFont="1" applyBorder="1" applyAlignment="1">
      <alignment horizontal="center"/>
    </xf>
    <xf numFmtId="0" fontId="13" fillId="0" borderId="0" xfId="3" applyFont="1" applyFill="1" applyBorder="1" applyAlignment="1">
      <alignment horizontal="center"/>
    </xf>
    <xf numFmtId="0" fontId="13" fillId="0" borderId="16" xfId="3" applyFont="1" applyFill="1" applyBorder="1" applyAlignment="1">
      <alignment horizontal="center"/>
    </xf>
    <xf numFmtId="0" fontId="2" fillId="0" borderId="0" xfId="3" applyFont="1" applyAlignment="1">
      <alignment horizontal="center"/>
    </xf>
    <xf numFmtId="0" fontId="5" fillId="0" borderId="5" xfId="3" applyFont="1" applyBorder="1" applyAlignment="1">
      <alignment horizontal="center"/>
    </xf>
    <xf numFmtId="0" fontId="5" fillId="0" borderId="15" xfId="3" applyFont="1" applyBorder="1" applyAlignment="1">
      <alignment horizontal="center"/>
    </xf>
    <xf numFmtId="0" fontId="5" fillId="0" borderId="16" xfId="3" applyFont="1" applyBorder="1" applyAlignment="1">
      <alignment horizontal="center"/>
    </xf>
    <xf numFmtId="0" fontId="24" fillId="0" borderId="0" xfId="5" applyFont="1" applyAlignment="1">
      <alignment horizontal="left" vertical="center" wrapText="1"/>
    </xf>
    <xf numFmtId="0" fontId="34" fillId="0" borderId="0" xfId="5" applyFont="1" applyAlignment="1">
      <alignment horizontal="left"/>
    </xf>
    <xf numFmtId="0" fontId="9" fillId="0" borderId="0" xfId="5" applyAlignment="1">
      <alignment horizontal="left" wrapText="1"/>
    </xf>
    <xf numFmtId="0" fontId="24" fillId="0" borderId="0" xfId="5" applyFont="1" applyFill="1" applyAlignment="1">
      <alignment horizontal="left" vertical="center" indent="1"/>
    </xf>
    <xf numFmtId="0" fontId="24" fillId="0" borderId="0" xfId="5" applyFont="1" applyFill="1" applyAlignment="1">
      <alignment horizontal="center" vertical="center"/>
    </xf>
    <xf numFmtId="0" fontId="27" fillId="0" borderId="0" xfId="5" applyFont="1" applyAlignment="1">
      <alignment horizontal="left"/>
    </xf>
    <xf numFmtId="0" fontId="24" fillId="0" borderId="20" xfId="5" applyFont="1" applyFill="1" applyBorder="1" applyAlignment="1">
      <alignment horizontal="center" vertical="center"/>
    </xf>
  </cellXfs>
  <cellStyles count="7">
    <cellStyle name="Comma" xfId="1" builtinId="3"/>
    <cellStyle name="Komats 10" xfId="4" xr:uid="{D1981905-36CE-4F32-AB55-A27A5979FE07}"/>
    <cellStyle name="Normal" xfId="0" builtinId="0"/>
    <cellStyle name="Parasts 2" xfId="5" xr:uid="{879C8B9B-3DC9-476A-A689-D1916A2E0B1C}"/>
    <cellStyle name="Parasts 7" xfId="3" xr:uid="{74479AC1-BEB6-4C10-9E15-A3EEA18B66D8}"/>
    <cellStyle name="Percent" xfId="2" builtinId="5"/>
    <cellStyle name="Procenti 2" xfId="6" xr:uid="{80EA3DCD-3424-419C-BE62-0D5FFD399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349D403B-23E6-4412-94C7-2AF5D5A1EB4B}"/>
            </a:ext>
          </a:extLst>
        </xdr:cNvPr>
        <xdr:cNvSpPr/>
      </xdr:nvSpPr>
      <xdr:spPr>
        <a:xfrm>
          <a:off x="723900" y="4114800"/>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828675</xdr:colOff>
      <xdr:row>22</xdr:row>
      <xdr:rowOff>19050</xdr:rowOff>
    </xdr:from>
    <xdr:to>
      <xdr:col>0</xdr:col>
      <xdr:colOff>876300</xdr:colOff>
      <xdr:row>29</xdr:row>
      <xdr:rowOff>19050</xdr:rowOff>
    </xdr:to>
    <xdr:sp macro="" textlink="">
      <xdr:nvSpPr>
        <xdr:cNvPr id="2" name="Kreisā figūriekava 1">
          <a:extLst>
            <a:ext uri="{FF2B5EF4-FFF2-40B4-BE49-F238E27FC236}">
              <a16:creationId xmlns:a16="http://schemas.microsoft.com/office/drawing/2014/main" id="{D7672196-4D2A-4982-B7F9-6E61C8902236}"/>
            </a:ext>
          </a:extLst>
        </xdr:cNvPr>
        <xdr:cNvSpPr/>
      </xdr:nvSpPr>
      <xdr:spPr>
        <a:xfrm>
          <a:off x="828675" y="4305300"/>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828675</xdr:colOff>
      <xdr:row>22</xdr:row>
      <xdr:rowOff>19050</xdr:rowOff>
    </xdr:from>
    <xdr:to>
      <xdr:col>0</xdr:col>
      <xdr:colOff>876300</xdr:colOff>
      <xdr:row>29</xdr:row>
      <xdr:rowOff>19050</xdr:rowOff>
    </xdr:to>
    <xdr:sp macro="" textlink="">
      <xdr:nvSpPr>
        <xdr:cNvPr id="2" name="Kreisā figūriekava 1">
          <a:extLst>
            <a:ext uri="{FF2B5EF4-FFF2-40B4-BE49-F238E27FC236}">
              <a16:creationId xmlns:a16="http://schemas.microsoft.com/office/drawing/2014/main" id="{B4BFC1B5-51B9-42E4-8CEA-A5BE105D1432}"/>
            </a:ext>
          </a:extLst>
        </xdr:cNvPr>
        <xdr:cNvSpPr/>
      </xdr:nvSpPr>
      <xdr:spPr>
        <a:xfrm>
          <a:off x="828675" y="4133850"/>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828675</xdr:colOff>
      <xdr:row>22</xdr:row>
      <xdr:rowOff>19050</xdr:rowOff>
    </xdr:from>
    <xdr:to>
      <xdr:col>0</xdr:col>
      <xdr:colOff>876300</xdr:colOff>
      <xdr:row>29</xdr:row>
      <xdr:rowOff>19050</xdr:rowOff>
    </xdr:to>
    <xdr:sp macro="" textlink="">
      <xdr:nvSpPr>
        <xdr:cNvPr id="2" name="Kreisā figūriekava 1">
          <a:extLst>
            <a:ext uri="{FF2B5EF4-FFF2-40B4-BE49-F238E27FC236}">
              <a16:creationId xmlns:a16="http://schemas.microsoft.com/office/drawing/2014/main" id="{4E961946-C6B0-48AF-85B1-1DE2CD0F04A5}"/>
            </a:ext>
          </a:extLst>
        </xdr:cNvPr>
        <xdr:cNvSpPr/>
      </xdr:nvSpPr>
      <xdr:spPr>
        <a:xfrm>
          <a:off x="828675" y="4133850"/>
          <a:ext cx="47625" cy="13335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Nomas_maksas\2018\Maksas_pakalpojumi\AKT_SC_pakalpojumi_01_09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mite\Desktop\2010\Nomas_maksas\2018\AKT_Nomas_maksa_SC_01082017_3107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Tame_galda_teniss"/>
      <sheetName val="Tame_sauna"/>
      <sheetName val="Baseins"/>
      <sheetName val="Tame"/>
      <sheetName val="Apmeklējums"/>
      <sheetName val="Pienemumi"/>
    </sheetNames>
    <sheetDataSet>
      <sheetData sheetId="0" refreshError="1"/>
      <sheetData sheetId="1"/>
      <sheetData sheetId="2"/>
      <sheetData sheetId="3"/>
      <sheetData sheetId="4">
        <row r="15">
          <cell r="H15">
            <v>0.45250000000000001</v>
          </cell>
        </row>
        <row r="44">
          <cell r="C44">
            <v>1831.9899999999998</v>
          </cell>
        </row>
        <row r="47">
          <cell r="C47">
            <v>18335.599999999999</v>
          </cell>
        </row>
        <row r="51">
          <cell r="C51">
            <v>1542.71</v>
          </cell>
        </row>
        <row r="56">
          <cell r="C56">
            <v>53700.759999999995</v>
          </cell>
        </row>
        <row r="57">
          <cell r="C57">
            <v>35694.43</v>
          </cell>
        </row>
        <row r="60">
          <cell r="C60">
            <v>348.5</v>
          </cell>
        </row>
        <row r="63">
          <cell r="C63">
            <v>80.400000000000006</v>
          </cell>
        </row>
        <row r="68">
          <cell r="C68">
            <v>1016.0799999999999</v>
          </cell>
        </row>
        <row r="70">
          <cell r="C70">
            <v>28664.62</v>
          </cell>
        </row>
        <row r="73">
          <cell r="C73">
            <v>49.26</v>
          </cell>
        </row>
        <row r="75">
          <cell r="C75">
            <v>5295.02</v>
          </cell>
        </row>
        <row r="76">
          <cell r="C76">
            <v>1877.65</v>
          </cell>
        </row>
        <row r="87">
          <cell r="C87">
            <v>26333.61</v>
          </cell>
        </row>
      </sheetData>
      <sheetData sheetId="5">
        <row r="37">
          <cell r="N37">
            <v>18538</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kopojums_SC_noma"/>
      <sheetName val="Noslodze"/>
      <sheetName val="ASC_2018_LZ"/>
      <sheetName val="ASC_2018_DzZ"/>
      <sheetName val="ASC_2018_AerobZ"/>
      <sheetName val="Fizioterap_kabin_2018"/>
      <sheetName val="Svaru_zale_2018"/>
      <sheetName val="Gerbtuve"/>
      <sheetName val="ASC_2018_Galda_teniss"/>
      <sheetName val="Baseins"/>
      <sheetName val="SPA"/>
      <sheetName val="Tame"/>
    </sheetNames>
    <sheetDataSet>
      <sheetData sheetId="0" refreshError="1"/>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 sheetId="11">
        <row r="45">
          <cell r="D45">
            <v>478.4</v>
          </cell>
        </row>
        <row r="46">
          <cell r="D46">
            <v>1353.5900000000001</v>
          </cell>
        </row>
        <row r="48">
          <cell r="D48">
            <v>4994.1900000000005</v>
          </cell>
        </row>
        <row r="49">
          <cell r="D49">
            <v>13341.41</v>
          </cell>
        </row>
        <row r="50">
          <cell r="D50">
            <v>0</v>
          </cell>
        </row>
        <row r="53">
          <cell r="D53">
            <v>143.47999999999999</v>
          </cell>
        </row>
        <row r="54">
          <cell r="D54">
            <v>0</v>
          </cell>
        </row>
        <row r="55">
          <cell r="D55">
            <v>1140.25</v>
          </cell>
        </row>
        <row r="57">
          <cell r="D57">
            <v>35694.43</v>
          </cell>
        </row>
        <row r="58">
          <cell r="D58">
            <v>10146.199999999999</v>
          </cell>
        </row>
        <row r="59">
          <cell r="D59">
            <v>2513</v>
          </cell>
        </row>
        <row r="60">
          <cell r="D60">
            <v>348.5</v>
          </cell>
        </row>
        <row r="61">
          <cell r="D61">
            <v>4998.63</v>
          </cell>
        </row>
        <row r="63">
          <cell r="D63">
            <v>80.400000000000006</v>
          </cell>
        </row>
        <row r="65">
          <cell r="D65">
            <v>10744.42</v>
          </cell>
        </row>
        <row r="68">
          <cell r="D68">
            <v>1016.0799999999999</v>
          </cell>
        </row>
        <row r="69">
          <cell r="D69">
            <v>1608.7800000000002</v>
          </cell>
        </row>
        <row r="71">
          <cell r="D71">
            <v>27947.64</v>
          </cell>
        </row>
        <row r="72">
          <cell r="D72">
            <v>716.98</v>
          </cell>
        </row>
        <row r="74">
          <cell r="D74">
            <v>49.26</v>
          </cell>
        </row>
        <row r="75">
          <cell r="D75">
            <v>5295.02</v>
          </cell>
        </row>
        <row r="76">
          <cell r="D76">
            <v>1877.65</v>
          </cell>
        </row>
        <row r="87">
          <cell r="D87">
            <v>26333.61</v>
          </cell>
        </row>
        <row r="92">
          <cell r="B92">
            <v>221</v>
          </cell>
        </row>
        <row r="105">
          <cell r="B105">
            <v>412</v>
          </cell>
        </row>
        <row r="107">
          <cell r="B107">
            <v>6984.36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9A9A-E2D8-473F-8EC1-8F9758A2E5E9}">
  <sheetPr>
    <tabColor rgb="FF92D050"/>
  </sheetPr>
  <dimension ref="A1:N64"/>
  <sheetViews>
    <sheetView tabSelected="1" topLeftCell="A19" zoomScale="90" zoomScaleNormal="90" workbookViewId="0">
      <selection activeCell="G56" sqref="G56"/>
    </sheetView>
  </sheetViews>
  <sheetFormatPr defaultRowHeight="18.75" outlineLevelRow="1" x14ac:dyDescent="0.3"/>
  <cols>
    <col min="1" max="1" width="17" style="1" customWidth="1"/>
    <col min="2" max="2" width="52.28515625" style="1" customWidth="1"/>
    <col min="3" max="3" width="19.140625" style="1" hidden="1" customWidth="1"/>
    <col min="4" max="4" width="19.140625" style="1" customWidth="1"/>
    <col min="5" max="5" width="13.7109375" style="1" customWidth="1"/>
    <col min="6" max="6" width="18.28515625" style="1" customWidth="1"/>
    <col min="7" max="7" width="16.140625" style="1" customWidth="1"/>
    <col min="8" max="8" width="18" style="1" customWidth="1"/>
    <col min="9" max="9" width="22.42578125" style="1" customWidth="1"/>
    <col min="10" max="10" width="17.28515625" style="1" customWidth="1"/>
    <col min="11" max="256" width="9.140625" style="1"/>
    <col min="257" max="257" width="17" style="1" customWidth="1"/>
    <col min="258" max="258" width="52.28515625" style="1" customWidth="1"/>
    <col min="259" max="259" width="0" style="1" hidden="1" customWidth="1"/>
    <col min="260" max="260" width="19.140625" style="1" customWidth="1"/>
    <col min="261" max="261" width="13.7109375" style="1" customWidth="1"/>
    <col min="262" max="262" width="18.28515625" style="1" customWidth="1"/>
    <col min="263" max="263" width="16.140625" style="1" customWidth="1"/>
    <col min="264" max="264" width="18" style="1" customWidth="1"/>
    <col min="265" max="265" width="22.42578125" style="1" customWidth="1"/>
    <col min="266" max="266" width="17.28515625" style="1" customWidth="1"/>
    <col min="267" max="512" width="9.140625" style="1"/>
    <col min="513" max="513" width="17" style="1" customWidth="1"/>
    <col min="514" max="514" width="52.28515625" style="1" customWidth="1"/>
    <col min="515" max="515" width="0" style="1" hidden="1" customWidth="1"/>
    <col min="516" max="516" width="19.140625" style="1" customWidth="1"/>
    <col min="517" max="517" width="13.7109375" style="1" customWidth="1"/>
    <col min="518" max="518" width="18.28515625" style="1" customWidth="1"/>
    <col min="519" max="519" width="16.140625" style="1" customWidth="1"/>
    <col min="520" max="520" width="18" style="1" customWidth="1"/>
    <col min="521" max="521" width="22.42578125" style="1" customWidth="1"/>
    <col min="522" max="522" width="17.28515625" style="1" customWidth="1"/>
    <col min="523" max="768" width="9.140625" style="1"/>
    <col min="769" max="769" width="17" style="1" customWidth="1"/>
    <col min="770" max="770" width="52.28515625" style="1" customWidth="1"/>
    <col min="771" max="771" width="0" style="1" hidden="1" customWidth="1"/>
    <col min="772" max="772" width="19.140625" style="1" customWidth="1"/>
    <col min="773" max="773" width="13.7109375" style="1" customWidth="1"/>
    <col min="774" max="774" width="18.28515625" style="1" customWidth="1"/>
    <col min="775" max="775" width="16.140625" style="1" customWidth="1"/>
    <col min="776" max="776" width="18" style="1" customWidth="1"/>
    <col min="777" max="777" width="22.42578125" style="1" customWidth="1"/>
    <col min="778" max="778" width="17.28515625" style="1" customWidth="1"/>
    <col min="779" max="1024" width="9.140625" style="1"/>
    <col min="1025" max="1025" width="17" style="1" customWidth="1"/>
    <col min="1026" max="1026" width="52.28515625" style="1" customWidth="1"/>
    <col min="1027" max="1027" width="0" style="1" hidden="1" customWidth="1"/>
    <col min="1028" max="1028" width="19.140625" style="1" customWidth="1"/>
    <col min="1029" max="1029" width="13.7109375" style="1" customWidth="1"/>
    <col min="1030" max="1030" width="18.28515625" style="1" customWidth="1"/>
    <col min="1031" max="1031" width="16.140625" style="1" customWidth="1"/>
    <col min="1032" max="1032" width="18" style="1" customWidth="1"/>
    <col min="1033" max="1033" width="22.42578125" style="1" customWidth="1"/>
    <col min="1034" max="1034" width="17.28515625" style="1" customWidth="1"/>
    <col min="1035" max="1280" width="9.140625" style="1"/>
    <col min="1281" max="1281" width="17" style="1" customWidth="1"/>
    <col min="1282" max="1282" width="52.28515625" style="1" customWidth="1"/>
    <col min="1283" max="1283" width="0" style="1" hidden="1" customWidth="1"/>
    <col min="1284" max="1284" width="19.140625" style="1" customWidth="1"/>
    <col min="1285" max="1285" width="13.7109375" style="1" customWidth="1"/>
    <col min="1286" max="1286" width="18.28515625" style="1" customWidth="1"/>
    <col min="1287" max="1287" width="16.140625" style="1" customWidth="1"/>
    <col min="1288" max="1288" width="18" style="1" customWidth="1"/>
    <col min="1289" max="1289" width="22.42578125" style="1" customWidth="1"/>
    <col min="1290" max="1290" width="17.28515625" style="1" customWidth="1"/>
    <col min="1291" max="1536" width="9.140625" style="1"/>
    <col min="1537" max="1537" width="17" style="1" customWidth="1"/>
    <col min="1538" max="1538" width="52.28515625" style="1" customWidth="1"/>
    <col min="1539" max="1539" width="0" style="1" hidden="1" customWidth="1"/>
    <col min="1540" max="1540" width="19.140625" style="1" customWidth="1"/>
    <col min="1541" max="1541" width="13.7109375" style="1" customWidth="1"/>
    <col min="1542" max="1542" width="18.28515625" style="1" customWidth="1"/>
    <col min="1543" max="1543" width="16.140625" style="1" customWidth="1"/>
    <col min="1544" max="1544" width="18" style="1" customWidth="1"/>
    <col min="1545" max="1545" width="22.42578125" style="1" customWidth="1"/>
    <col min="1546" max="1546" width="17.28515625" style="1" customWidth="1"/>
    <col min="1547" max="1792" width="9.140625" style="1"/>
    <col min="1793" max="1793" width="17" style="1" customWidth="1"/>
    <col min="1794" max="1794" width="52.28515625" style="1" customWidth="1"/>
    <col min="1795" max="1795" width="0" style="1" hidden="1" customWidth="1"/>
    <col min="1796" max="1796" width="19.140625" style="1" customWidth="1"/>
    <col min="1797" max="1797" width="13.7109375" style="1" customWidth="1"/>
    <col min="1798" max="1798" width="18.28515625" style="1" customWidth="1"/>
    <col min="1799" max="1799" width="16.140625" style="1" customWidth="1"/>
    <col min="1800" max="1800" width="18" style="1" customWidth="1"/>
    <col min="1801" max="1801" width="22.42578125" style="1" customWidth="1"/>
    <col min="1802" max="1802" width="17.28515625" style="1" customWidth="1"/>
    <col min="1803" max="2048" width="9.140625" style="1"/>
    <col min="2049" max="2049" width="17" style="1" customWidth="1"/>
    <col min="2050" max="2050" width="52.28515625" style="1" customWidth="1"/>
    <col min="2051" max="2051" width="0" style="1" hidden="1" customWidth="1"/>
    <col min="2052" max="2052" width="19.140625" style="1" customWidth="1"/>
    <col min="2053" max="2053" width="13.7109375" style="1" customWidth="1"/>
    <col min="2054" max="2054" width="18.28515625" style="1" customWidth="1"/>
    <col min="2055" max="2055" width="16.140625" style="1" customWidth="1"/>
    <col min="2056" max="2056" width="18" style="1" customWidth="1"/>
    <col min="2057" max="2057" width="22.42578125" style="1" customWidth="1"/>
    <col min="2058" max="2058" width="17.28515625" style="1" customWidth="1"/>
    <col min="2059" max="2304" width="9.140625" style="1"/>
    <col min="2305" max="2305" width="17" style="1" customWidth="1"/>
    <col min="2306" max="2306" width="52.28515625" style="1" customWidth="1"/>
    <col min="2307" max="2307" width="0" style="1" hidden="1" customWidth="1"/>
    <col min="2308" max="2308" width="19.140625" style="1" customWidth="1"/>
    <col min="2309" max="2309" width="13.7109375" style="1" customWidth="1"/>
    <col min="2310" max="2310" width="18.28515625" style="1" customWidth="1"/>
    <col min="2311" max="2311" width="16.140625" style="1" customWidth="1"/>
    <col min="2312" max="2312" width="18" style="1" customWidth="1"/>
    <col min="2313" max="2313" width="22.42578125" style="1" customWidth="1"/>
    <col min="2314" max="2314" width="17.28515625" style="1" customWidth="1"/>
    <col min="2315" max="2560" width="9.140625" style="1"/>
    <col min="2561" max="2561" width="17" style="1" customWidth="1"/>
    <col min="2562" max="2562" width="52.28515625" style="1" customWidth="1"/>
    <col min="2563" max="2563" width="0" style="1" hidden="1" customWidth="1"/>
    <col min="2564" max="2564" width="19.140625" style="1" customWidth="1"/>
    <col min="2565" max="2565" width="13.7109375" style="1" customWidth="1"/>
    <col min="2566" max="2566" width="18.28515625" style="1" customWidth="1"/>
    <col min="2567" max="2567" width="16.140625" style="1" customWidth="1"/>
    <col min="2568" max="2568" width="18" style="1" customWidth="1"/>
    <col min="2569" max="2569" width="22.42578125" style="1" customWidth="1"/>
    <col min="2570" max="2570" width="17.28515625" style="1" customWidth="1"/>
    <col min="2571" max="2816" width="9.140625" style="1"/>
    <col min="2817" max="2817" width="17" style="1" customWidth="1"/>
    <col min="2818" max="2818" width="52.28515625" style="1" customWidth="1"/>
    <col min="2819" max="2819" width="0" style="1" hidden="1" customWidth="1"/>
    <col min="2820" max="2820" width="19.140625" style="1" customWidth="1"/>
    <col min="2821" max="2821" width="13.7109375" style="1" customWidth="1"/>
    <col min="2822" max="2822" width="18.28515625" style="1" customWidth="1"/>
    <col min="2823" max="2823" width="16.140625" style="1" customWidth="1"/>
    <col min="2824" max="2824" width="18" style="1" customWidth="1"/>
    <col min="2825" max="2825" width="22.42578125" style="1" customWidth="1"/>
    <col min="2826" max="2826" width="17.28515625" style="1" customWidth="1"/>
    <col min="2827" max="3072" width="9.140625" style="1"/>
    <col min="3073" max="3073" width="17" style="1" customWidth="1"/>
    <col min="3074" max="3074" width="52.28515625" style="1" customWidth="1"/>
    <col min="3075" max="3075" width="0" style="1" hidden="1" customWidth="1"/>
    <col min="3076" max="3076" width="19.140625" style="1" customWidth="1"/>
    <col min="3077" max="3077" width="13.7109375" style="1" customWidth="1"/>
    <col min="3078" max="3078" width="18.28515625" style="1" customWidth="1"/>
    <col min="3079" max="3079" width="16.140625" style="1" customWidth="1"/>
    <col min="3080" max="3080" width="18" style="1" customWidth="1"/>
    <col min="3081" max="3081" width="22.42578125" style="1" customWidth="1"/>
    <col min="3082" max="3082" width="17.28515625" style="1" customWidth="1"/>
    <col min="3083" max="3328" width="9.140625" style="1"/>
    <col min="3329" max="3329" width="17" style="1" customWidth="1"/>
    <col min="3330" max="3330" width="52.28515625" style="1" customWidth="1"/>
    <col min="3331" max="3331" width="0" style="1" hidden="1" customWidth="1"/>
    <col min="3332" max="3332" width="19.140625" style="1" customWidth="1"/>
    <col min="3333" max="3333" width="13.7109375" style="1" customWidth="1"/>
    <col min="3334" max="3334" width="18.28515625" style="1" customWidth="1"/>
    <col min="3335" max="3335" width="16.140625" style="1" customWidth="1"/>
    <col min="3336" max="3336" width="18" style="1" customWidth="1"/>
    <col min="3337" max="3337" width="22.42578125" style="1" customWidth="1"/>
    <col min="3338" max="3338" width="17.28515625" style="1" customWidth="1"/>
    <col min="3339" max="3584" width="9.140625" style="1"/>
    <col min="3585" max="3585" width="17" style="1" customWidth="1"/>
    <col min="3586" max="3586" width="52.28515625" style="1" customWidth="1"/>
    <col min="3587" max="3587" width="0" style="1" hidden="1" customWidth="1"/>
    <col min="3588" max="3588" width="19.140625" style="1" customWidth="1"/>
    <col min="3589" max="3589" width="13.7109375" style="1" customWidth="1"/>
    <col min="3590" max="3590" width="18.28515625" style="1" customWidth="1"/>
    <col min="3591" max="3591" width="16.140625" style="1" customWidth="1"/>
    <col min="3592" max="3592" width="18" style="1" customWidth="1"/>
    <col min="3593" max="3593" width="22.42578125" style="1" customWidth="1"/>
    <col min="3594" max="3594" width="17.28515625" style="1" customWidth="1"/>
    <col min="3595" max="3840" width="9.140625" style="1"/>
    <col min="3841" max="3841" width="17" style="1" customWidth="1"/>
    <col min="3842" max="3842" width="52.28515625" style="1" customWidth="1"/>
    <col min="3843" max="3843" width="0" style="1" hidden="1" customWidth="1"/>
    <col min="3844" max="3844" width="19.140625" style="1" customWidth="1"/>
    <col min="3845" max="3845" width="13.7109375" style="1" customWidth="1"/>
    <col min="3846" max="3846" width="18.28515625" style="1" customWidth="1"/>
    <col min="3847" max="3847" width="16.140625" style="1" customWidth="1"/>
    <col min="3848" max="3848" width="18" style="1" customWidth="1"/>
    <col min="3849" max="3849" width="22.42578125" style="1" customWidth="1"/>
    <col min="3850" max="3850" width="17.28515625" style="1" customWidth="1"/>
    <col min="3851" max="4096" width="9.140625" style="1"/>
    <col min="4097" max="4097" width="17" style="1" customWidth="1"/>
    <col min="4098" max="4098" width="52.28515625" style="1" customWidth="1"/>
    <col min="4099" max="4099" width="0" style="1" hidden="1" customWidth="1"/>
    <col min="4100" max="4100" width="19.140625" style="1" customWidth="1"/>
    <col min="4101" max="4101" width="13.7109375" style="1" customWidth="1"/>
    <col min="4102" max="4102" width="18.28515625" style="1" customWidth="1"/>
    <col min="4103" max="4103" width="16.140625" style="1" customWidth="1"/>
    <col min="4104" max="4104" width="18" style="1" customWidth="1"/>
    <col min="4105" max="4105" width="22.42578125" style="1" customWidth="1"/>
    <col min="4106" max="4106" width="17.28515625" style="1" customWidth="1"/>
    <col min="4107" max="4352" width="9.140625" style="1"/>
    <col min="4353" max="4353" width="17" style="1" customWidth="1"/>
    <col min="4354" max="4354" width="52.28515625" style="1" customWidth="1"/>
    <col min="4355" max="4355" width="0" style="1" hidden="1" customWidth="1"/>
    <col min="4356" max="4356" width="19.140625" style="1" customWidth="1"/>
    <col min="4357" max="4357" width="13.7109375" style="1" customWidth="1"/>
    <col min="4358" max="4358" width="18.28515625" style="1" customWidth="1"/>
    <col min="4359" max="4359" width="16.140625" style="1" customWidth="1"/>
    <col min="4360" max="4360" width="18" style="1" customWidth="1"/>
    <col min="4361" max="4361" width="22.42578125" style="1" customWidth="1"/>
    <col min="4362" max="4362" width="17.28515625" style="1" customWidth="1"/>
    <col min="4363" max="4608" width="9.140625" style="1"/>
    <col min="4609" max="4609" width="17" style="1" customWidth="1"/>
    <col min="4610" max="4610" width="52.28515625" style="1" customWidth="1"/>
    <col min="4611" max="4611" width="0" style="1" hidden="1" customWidth="1"/>
    <col min="4612" max="4612" width="19.140625" style="1" customWidth="1"/>
    <col min="4613" max="4613" width="13.7109375" style="1" customWidth="1"/>
    <col min="4614" max="4614" width="18.28515625" style="1" customWidth="1"/>
    <col min="4615" max="4615" width="16.140625" style="1" customWidth="1"/>
    <col min="4616" max="4616" width="18" style="1" customWidth="1"/>
    <col min="4617" max="4617" width="22.42578125" style="1" customWidth="1"/>
    <col min="4618" max="4618" width="17.28515625" style="1" customWidth="1"/>
    <col min="4619" max="4864" width="9.140625" style="1"/>
    <col min="4865" max="4865" width="17" style="1" customWidth="1"/>
    <col min="4866" max="4866" width="52.28515625" style="1" customWidth="1"/>
    <col min="4867" max="4867" width="0" style="1" hidden="1" customWidth="1"/>
    <col min="4868" max="4868" width="19.140625" style="1" customWidth="1"/>
    <col min="4869" max="4869" width="13.7109375" style="1" customWidth="1"/>
    <col min="4870" max="4870" width="18.28515625" style="1" customWidth="1"/>
    <col min="4871" max="4871" width="16.140625" style="1" customWidth="1"/>
    <col min="4872" max="4872" width="18" style="1" customWidth="1"/>
    <col min="4873" max="4873" width="22.42578125" style="1" customWidth="1"/>
    <col min="4874" max="4874" width="17.28515625" style="1" customWidth="1"/>
    <col min="4875" max="5120" width="9.140625" style="1"/>
    <col min="5121" max="5121" width="17" style="1" customWidth="1"/>
    <col min="5122" max="5122" width="52.28515625" style="1" customWidth="1"/>
    <col min="5123" max="5123" width="0" style="1" hidden="1" customWidth="1"/>
    <col min="5124" max="5124" width="19.140625" style="1" customWidth="1"/>
    <col min="5125" max="5125" width="13.7109375" style="1" customWidth="1"/>
    <col min="5126" max="5126" width="18.28515625" style="1" customWidth="1"/>
    <col min="5127" max="5127" width="16.140625" style="1" customWidth="1"/>
    <col min="5128" max="5128" width="18" style="1" customWidth="1"/>
    <col min="5129" max="5129" width="22.42578125" style="1" customWidth="1"/>
    <col min="5130" max="5130" width="17.28515625" style="1" customWidth="1"/>
    <col min="5131" max="5376" width="9.140625" style="1"/>
    <col min="5377" max="5377" width="17" style="1" customWidth="1"/>
    <col min="5378" max="5378" width="52.28515625" style="1" customWidth="1"/>
    <col min="5379" max="5379" width="0" style="1" hidden="1" customWidth="1"/>
    <col min="5380" max="5380" width="19.140625" style="1" customWidth="1"/>
    <col min="5381" max="5381" width="13.7109375" style="1" customWidth="1"/>
    <col min="5382" max="5382" width="18.28515625" style="1" customWidth="1"/>
    <col min="5383" max="5383" width="16.140625" style="1" customWidth="1"/>
    <col min="5384" max="5384" width="18" style="1" customWidth="1"/>
    <col min="5385" max="5385" width="22.42578125" style="1" customWidth="1"/>
    <col min="5386" max="5386" width="17.28515625" style="1" customWidth="1"/>
    <col min="5387" max="5632" width="9.140625" style="1"/>
    <col min="5633" max="5633" width="17" style="1" customWidth="1"/>
    <col min="5634" max="5634" width="52.28515625" style="1" customWidth="1"/>
    <col min="5635" max="5635" width="0" style="1" hidden="1" customWidth="1"/>
    <col min="5636" max="5636" width="19.140625" style="1" customWidth="1"/>
    <col min="5637" max="5637" width="13.7109375" style="1" customWidth="1"/>
    <col min="5638" max="5638" width="18.28515625" style="1" customWidth="1"/>
    <col min="5639" max="5639" width="16.140625" style="1" customWidth="1"/>
    <col min="5640" max="5640" width="18" style="1" customWidth="1"/>
    <col min="5641" max="5641" width="22.42578125" style="1" customWidth="1"/>
    <col min="5642" max="5642" width="17.28515625" style="1" customWidth="1"/>
    <col min="5643" max="5888" width="9.140625" style="1"/>
    <col min="5889" max="5889" width="17" style="1" customWidth="1"/>
    <col min="5890" max="5890" width="52.28515625" style="1" customWidth="1"/>
    <col min="5891" max="5891" width="0" style="1" hidden="1" customWidth="1"/>
    <col min="5892" max="5892" width="19.140625" style="1" customWidth="1"/>
    <col min="5893" max="5893" width="13.7109375" style="1" customWidth="1"/>
    <col min="5894" max="5894" width="18.28515625" style="1" customWidth="1"/>
    <col min="5895" max="5895" width="16.140625" style="1" customWidth="1"/>
    <col min="5896" max="5896" width="18" style="1" customWidth="1"/>
    <col min="5897" max="5897" width="22.42578125" style="1" customWidth="1"/>
    <col min="5898" max="5898" width="17.28515625" style="1" customWidth="1"/>
    <col min="5899" max="6144" width="9.140625" style="1"/>
    <col min="6145" max="6145" width="17" style="1" customWidth="1"/>
    <col min="6146" max="6146" width="52.28515625" style="1" customWidth="1"/>
    <col min="6147" max="6147" width="0" style="1" hidden="1" customWidth="1"/>
    <col min="6148" max="6148" width="19.140625" style="1" customWidth="1"/>
    <col min="6149" max="6149" width="13.7109375" style="1" customWidth="1"/>
    <col min="6150" max="6150" width="18.28515625" style="1" customWidth="1"/>
    <col min="6151" max="6151" width="16.140625" style="1" customWidth="1"/>
    <col min="6152" max="6152" width="18" style="1" customWidth="1"/>
    <col min="6153" max="6153" width="22.42578125" style="1" customWidth="1"/>
    <col min="6154" max="6154" width="17.28515625" style="1" customWidth="1"/>
    <col min="6155" max="6400" width="9.140625" style="1"/>
    <col min="6401" max="6401" width="17" style="1" customWidth="1"/>
    <col min="6402" max="6402" width="52.28515625" style="1" customWidth="1"/>
    <col min="6403" max="6403" width="0" style="1" hidden="1" customWidth="1"/>
    <col min="6404" max="6404" width="19.140625" style="1" customWidth="1"/>
    <col min="6405" max="6405" width="13.7109375" style="1" customWidth="1"/>
    <col min="6406" max="6406" width="18.28515625" style="1" customWidth="1"/>
    <col min="6407" max="6407" width="16.140625" style="1" customWidth="1"/>
    <col min="6408" max="6408" width="18" style="1" customWidth="1"/>
    <col min="6409" max="6409" width="22.42578125" style="1" customWidth="1"/>
    <col min="6410" max="6410" width="17.28515625" style="1" customWidth="1"/>
    <col min="6411" max="6656" width="9.140625" style="1"/>
    <col min="6657" max="6657" width="17" style="1" customWidth="1"/>
    <col min="6658" max="6658" width="52.28515625" style="1" customWidth="1"/>
    <col min="6659" max="6659" width="0" style="1" hidden="1" customWidth="1"/>
    <col min="6660" max="6660" width="19.140625" style="1" customWidth="1"/>
    <col min="6661" max="6661" width="13.7109375" style="1" customWidth="1"/>
    <col min="6662" max="6662" width="18.28515625" style="1" customWidth="1"/>
    <col min="6663" max="6663" width="16.140625" style="1" customWidth="1"/>
    <col min="6664" max="6664" width="18" style="1" customWidth="1"/>
    <col min="6665" max="6665" width="22.42578125" style="1" customWidth="1"/>
    <col min="6666" max="6666" width="17.28515625" style="1" customWidth="1"/>
    <col min="6667" max="6912" width="9.140625" style="1"/>
    <col min="6913" max="6913" width="17" style="1" customWidth="1"/>
    <col min="6914" max="6914" width="52.28515625" style="1" customWidth="1"/>
    <col min="6915" max="6915" width="0" style="1" hidden="1" customWidth="1"/>
    <col min="6916" max="6916" width="19.140625" style="1" customWidth="1"/>
    <col min="6917" max="6917" width="13.7109375" style="1" customWidth="1"/>
    <col min="6918" max="6918" width="18.28515625" style="1" customWidth="1"/>
    <col min="6919" max="6919" width="16.140625" style="1" customWidth="1"/>
    <col min="6920" max="6920" width="18" style="1" customWidth="1"/>
    <col min="6921" max="6921" width="22.42578125" style="1" customWidth="1"/>
    <col min="6922" max="6922" width="17.28515625" style="1" customWidth="1"/>
    <col min="6923" max="7168" width="9.140625" style="1"/>
    <col min="7169" max="7169" width="17" style="1" customWidth="1"/>
    <col min="7170" max="7170" width="52.28515625" style="1" customWidth="1"/>
    <col min="7171" max="7171" width="0" style="1" hidden="1" customWidth="1"/>
    <col min="7172" max="7172" width="19.140625" style="1" customWidth="1"/>
    <col min="7173" max="7173" width="13.7109375" style="1" customWidth="1"/>
    <col min="7174" max="7174" width="18.28515625" style="1" customWidth="1"/>
    <col min="7175" max="7175" width="16.140625" style="1" customWidth="1"/>
    <col min="7176" max="7176" width="18" style="1" customWidth="1"/>
    <col min="7177" max="7177" width="22.42578125" style="1" customWidth="1"/>
    <col min="7178" max="7178" width="17.28515625" style="1" customWidth="1"/>
    <col min="7179" max="7424" width="9.140625" style="1"/>
    <col min="7425" max="7425" width="17" style="1" customWidth="1"/>
    <col min="7426" max="7426" width="52.28515625" style="1" customWidth="1"/>
    <col min="7427" max="7427" width="0" style="1" hidden="1" customWidth="1"/>
    <col min="7428" max="7428" width="19.140625" style="1" customWidth="1"/>
    <col min="7429" max="7429" width="13.7109375" style="1" customWidth="1"/>
    <col min="7430" max="7430" width="18.28515625" style="1" customWidth="1"/>
    <col min="7431" max="7431" width="16.140625" style="1" customWidth="1"/>
    <col min="7432" max="7432" width="18" style="1" customWidth="1"/>
    <col min="7433" max="7433" width="22.42578125" style="1" customWidth="1"/>
    <col min="7434" max="7434" width="17.28515625" style="1" customWidth="1"/>
    <col min="7435" max="7680" width="9.140625" style="1"/>
    <col min="7681" max="7681" width="17" style="1" customWidth="1"/>
    <col min="7682" max="7682" width="52.28515625" style="1" customWidth="1"/>
    <col min="7683" max="7683" width="0" style="1" hidden="1" customWidth="1"/>
    <col min="7684" max="7684" width="19.140625" style="1" customWidth="1"/>
    <col min="7685" max="7685" width="13.7109375" style="1" customWidth="1"/>
    <col min="7686" max="7686" width="18.28515625" style="1" customWidth="1"/>
    <col min="7687" max="7687" width="16.140625" style="1" customWidth="1"/>
    <col min="7688" max="7688" width="18" style="1" customWidth="1"/>
    <col min="7689" max="7689" width="22.42578125" style="1" customWidth="1"/>
    <col min="7690" max="7690" width="17.28515625" style="1" customWidth="1"/>
    <col min="7691" max="7936" width="9.140625" style="1"/>
    <col min="7937" max="7937" width="17" style="1" customWidth="1"/>
    <col min="7938" max="7938" width="52.28515625" style="1" customWidth="1"/>
    <col min="7939" max="7939" width="0" style="1" hidden="1" customWidth="1"/>
    <col min="7940" max="7940" width="19.140625" style="1" customWidth="1"/>
    <col min="7941" max="7941" width="13.7109375" style="1" customWidth="1"/>
    <col min="7942" max="7942" width="18.28515625" style="1" customWidth="1"/>
    <col min="7943" max="7943" width="16.140625" style="1" customWidth="1"/>
    <col min="7944" max="7944" width="18" style="1" customWidth="1"/>
    <col min="7945" max="7945" width="22.42578125" style="1" customWidth="1"/>
    <col min="7946" max="7946" width="17.28515625" style="1" customWidth="1"/>
    <col min="7947" max="8192" width="9.140625" style="1"/>
    <col min="8193" max="8193" width="17" style="1" customWidth="1"/>
    <col min="8194" max="8194" width="52.28515625" style="1" customWidth="1"/>
    <col min="8195" max="8195" width="0" style="1" hidden="1" customWidth="1"/>
    <col min="8196" max="8196" width="19.140625" style="1" customWidth="1"/>
    <col min="8197" max="8197" width="13.7109375" style="1" customWidth="1"/>
    <col min="8198" max="8198" width="18.28515625" style="1" customWidth="1"/>
    <col min="8199" max="8199" width="16.140625" style="1" customWidth="1"/>
    <col min="8200" max="8200" width="18" style="1" customWidth="1"/>
    <col min="8201" max="8201" width="22.42578125" style="1" customWidth="1"/>
    <col min="8202" max="8202" width="17.28515625" style="1" customWidth="1"/>
    <col min="8203" max="8448" width="9.140625" style="1"/>
    <col min="8449" max="8449" width="17" style="1" customWidth="1"/>
    <col min="8450" max="8450" width="52.28515625" style="1" customWidth="1"/>
    <col min="8451" max="8451" width="0" style="1" hidden="1" customWidth="1"/>
    <col min="8452" max="8452" width="19.140625" style="1" customWidth="1"/>
    <col min="8453" max="8453" width="13.7109375" style="1" customWidth="1"/>
    <col min="8454" max="8454" width="18.28515625" style="1" customWidth="1"/>
    <col min="8455" max="8455" width="16.140625" style="1" customWidth="1"/>
    <col min="8456" max="8456" width="18" style="1" customWidth="1"/>
    <col min="8457" max="8457" width="22.42578125" style="1" customWidth="1"/>
    <col min="8458" max="8458" width="17.28515625" style="1" customWidth="1"/>
    <col min="8459" max="8704" width="9.140625" style="1"/>
    <col min="8705" max="8705" width="17" style="1" customWidth="1"/>
    <col min="8706" max="8706" width="52.28515625" style="1" customWidth="1"/>
    <col min="8707" max="8707" width="0" style="1" hidden="1" customWidth="1"/>
    <col min="8708" max="8708" width="19.140625" style="1" customWidth="1"/>
    <col min="8709" max="8709" width="13.7109375" style="1" customWidth="1"/>
    <col min="8710" max="8710" width="18.28515625" style="1" customWidth="1"/>
    <col min="8711" max="8711" width="16.140625" style="1" customWidth="1"/>
    <col min="8712" max="8712" width="18" style="1" customWidth="1"/>
    <col min="8713" max="8713" width="22.42578125" style="1" customWidth="1"/>
    <col min="8714" max="8714" width="17.28515625" style="1" customWidth="1"/>
    <col min="8715" max="8960" width="9.140625" style="1"/>
    <col min="8961" max="8961" width="17" style="1" customWidth="1"/>
    <col min="8962" max="8962" width="52.28515625" style="1" customWidth="1"/>
    <col min="8963" max="8963" width="0" style="1" hidden="1" customWidth="1"/>
    <col min="8964" max="8964" width="19.140625" style="1" customWidth="1"/>
    <col min="8965" max="8965" width="13.7109375" style="1" customWidth="1"/>
    <col min="8966" max="8966" width="18.28515625" style="1" customWidth="1"/>
    <col min="8967" max="8967" width="16.140625" style="1" customWidth="1"/>
    <col min="8968" max="8968" width="18" style="1" customWidth="1"/>
    <col min="8969" max="8969" width="22.42578125" style="1" customWidth="1"/>
    <col min="8970" max="8970" width="17.28515625" style="1" customWidth="1"/>
    <col min="8971" max="9216" width="9.140625" style="1"/>
    <col min="9217" max="9217" width="17" style="1" customWidth="1"/>
    <col min="9218" max="9218" width="52.28515625" style="1" customWidth="1"/>
    <col min="9219" max="9219" width="0" style="1" hidden="1" customWidth="1"/>
    <col min="9220" max="9220" width="19.140625" style="1" customWidth="1"/>
    <col min="9221" max="9221" width="13.7109375" style="1" customWidth="1"/>
    <col min="9222" max="9222" width="18.28515625" style="1" customWidth="1"/>
    <col min="9223" max="9223" width="16.140625" style="1" customWidth="1"/>
    <col min="9224" max="9224" width="18" style="1" customWidth="1"/>
    <col min="9225" max="9225" width="22.42578125" style="1" customWidth="1"/>
    <col min="9226" max="9226" width="17.28515625" style="1" customWidth="1"/>
    <col min="9227" max="9472" width="9.140625" style="1"/>
    <col min="9473" max="9473" width="17" style="1" customWidth="1"/>
    <col min="9474" max="9474" width="52.28515625" style="1" customWidth="1"/>
    <col min="9475" max="9475" width="0" style="1" hidden="1" customWidth="1"/>
    <col min="9476" max="9476" width="19.140625" style="1" customWidth="1"/>
    <col min="9477" max="9477" width="13.7109375" style="1" customWidth="1"/>
    <col min="9478" max="9478" width="18.28515625" style="1" customWidth="1"/>
    <col min="9479" max="9479" width="16.140625" style="1" customWidth="1"/>
    <col min="9480" max="9480" width="18" style="1" customWidth="1"/>
    <col min="9481" max="9481" width="22.42578125" style="1" customWidth="1"/>
    <col min="9482" max="9482" width="17.28515625" style="1" customWidth="1"/>
    <col min="9483" max="9728" width="9.140625" style="1"/>
    <col min="9729" max="9729" width="17" style="1" customWidth="1"/>
    <col min="9730" max="9730" width="52.28515625" style="1" customWidth="1"/>
    <col min="9731" max="9731" width="0" style="1" hidden="1" customWidth="1"/>
    <col min="9732" max="9732" width="19.140625" style="1" customWidth="1"/>
    <col min="9733" max="9733" width="13.7109375" style="1" customWidth="1"/>
    <col min="9734" max="9734" width="18.28515625" style="1" customWidth="1"/>
    <col min="9735" max="9735" width="16.140625" style="1" customWidth="1"/>
    <col min="9736" max="9736" width="18" style="1" customWidth="1"/>
    <col min="9737" max="9737" width="22.42578125" style="1" customWidth="1"/>
    <col min="9738" max="9738" width="17.28515625" style="1" customWidth="1"/>
    <col min="9739" max="9984" width="9.140625" style="1"/>
    <col min="9985" max="9985" width="17" style="1" customWidth="1"/>
    <col min="9986" max="9986" width="52.28515625" style="1" customWidth="1"/>
    <col min="9987" max="9987" width="0" style="1" hidden="1" customWidth="1"/>
    <col min="9988" max="9988" width="19.140625" style="1" customWidth="1"/>
    <col min="9989" max="9989" width="13.7109375" style="1" customWidth="1"/>
    <col min="9990" max="9990" width="18.28515625" style="1" customWidth="1"/>
    <col min="9991" max="9991" width="16.140625" style="1" customWidth="1"/>
    <col min="9992" max="9992" width="18" style="1" customWidth="1"/>
    <col min="9993" max="9993" width="22.42578125" style="1" customWidth="1"/>
    <col min="9994" max="9994" width="17.28515625" style="1" customWidth="1"/>
    <col min="9995" max="10240" width="9.140625" style="1"/>
    <col min="10241" max="10241" width="17" style="1" customWidth="1"/>
    <col min="10242" max="10242" width="52.28515625" style="1" customWidth="1"/>
    <col min="10243" max="10243" width="0" style="1" hidden="1" customWidth="1"/>
    <col min="10244" max="10244" width="19.140625" style="1" customWidth="1"/>
    <col min="10245" max="10245" width="13.7109375" style="1" customWidth="1"/>
    <col min="10246" max="10246" width="18.28515625" style="1" customWidth="1"/>
    <col min="10247" max="10247" width="16.140625" style="1" customWidth="1"/>
    <col min="10248" max="10248" width="18" style="1" customWidth="1"/>
    <col min="10249" max="10249" width="22.42578125" style="1" customWidth="1"/>
    <col min="10250" max="10250" width="17.28515625" style="1" customWidth="1"/>
    <col min="10251" max="10496" width="9.140625" style="1"/>
    <col min="10497" max="10497" width="17" style="1" customWidth="1"/>
    <col min="10498" max="10498" width="52.28515625" style="1" customWidth="1"/>
    <col min="10499" max="10499" width="0" style="1" hidden="1" customWidth="1"/>
    <col min="10500" max="10500" width="19.140625" style="1" customWidth="1"/>
    <col min="10501" max="10501" width="13.7109375" style="1" customWidth="1"/>
    <col min="10502" max="10502" width="18.28515625" style="1" customWidth="1"/>
    <col min="10503" max="10503" width="16.140625" style="1" customWidth="1"/>
    <col min="10504" max="10504" width="18" style="1" customWidth="1"/>
    <col min="10505" max="10505" width="22.42578125" style="1" customWidth="1"/>
    <col min="10506" max="10506" width="17.28515625" style="1" customWidth="1"/>
    <col min="10507" max="10752" width="9.140625" style="1"/>
    <col min="10753" max="10753" width="17" style="1" customWidth="1"/>
    <col min="10754" max="10754" width="52.28515625" style="1" customWidth="1"/>
    <col min="10755" max="10755" width="0" style="1" hidden="1" customWidth="1"/>
    <col min="10756" max="10756" width="19.140625" style="1" customWidth="1"/>
    <col min="10757" max="10757" width="13.7109375" style="1" customWidth="1"/>
    <col min="10758" max="10758" width="18.28515625" style="1" customWidth="1"/>
    <col min="10759" max="10759" width="16.140625" style="1" customWidth="1"/>
    <col min="10760" max="10760" width="18" style="1" customWidth="1"/>
    <col min="10761" max="10761" width="22.42578125" style="1" customWidth="1"/>
    <col min="10762" max="10762" width="17.28515625" style="1" customWidth="1"/>
    <col min="10763" max="11008" width="9.140625" style="1"/>
    <col min="11009" max="11009" width="17" style="1" customWidth="1"/>
    <col min="11010" max="11010" width="52.28515625" style="1" customWidth="1"/>
    <col min="11011" max="11011" width="0" style="1" hidden="1" customWidth="1"/>
    <col min="11012" max="11012" width="19.140625" style="1" customWidth="1"/>
    <col min="11013" max="11013" width="13.7109375" style="1" customWidth="1"/>
    <col min="11014" max="11014" width="18.28515625" style="1" customWidth="1"/>
    <col min="11015" max="11015" width="16.140625" style="1" customWidth="1"/>
    <col min="11016" max="11016" width="18" style="1" customWidth="1"/>
    <col min="11017" max="11017" width="22.42578125" style="1" customWidth="1"/>
    <col min="11018" max="11018" width="17.28515625" style="1" customWidth="1"/>
    <col min="11019" max="11264" width="9.140625" style="1"/>
    <col min="11265" max="11265" width="17" style="1" customWidth="1"/>
    <col min="11266" max="11266" width="52.28515625" style="1" customWidth="1"/>
    <col min="11267" max="11267" width="0" style="1" hidden="1" customWidth="1"/>
    <col min="11268" max="11268" width="19.140625" style="1" customWidth="1"/>
    <col min="11269" max="11269" width="13.7109375" style="1" customWidth="1"/>
    <col min="11270" max="11270" width="18.28515625" style="1" customWidth="1"/>
    <col min="11271" max="11271" width="16.140625" style="1" customWidth="1"/>
    <col min="11272" max="11272" width="18" style="1" customWidth="1"/>
    <col min="11273" max="11273" width="22.42578125" style="1" customWidth="1"/>
    <col min="11274" max="11274" width="17.28515625" style="1" customWidth="1"/>
    <col min="11275" max="11520" width="9.140625" style="1"/>
    <col min="11521" max="11521" width="17" style="1" customWidth="1"/>
    <col min="11522" max="11522" width="52.28515625" style="1" customWidth="1"/>
    <col min="11523" max="11523" width="0" style="1" hidden="1" customWidth="1"/>
    <col min="11524" max="11524" width="19.140625" style="1" customWidth="1"/>
    <col min="11525" max="11525" width="13.7109375" style="1" customWidth="1"/>
    <col min="11526" max="11526" width="18.28515625" style="1" customWidth="1"/>
    <col min="11527" max="11527" width="16.140625" style="1" customWidth="1"/>
    <col min="11528" max="11528" width="18" style="1" customWidth="1"/>
    <col min="11529" max="11529" width="22.42578125" style="1" customWidth="1"/>
    <col min="11530" max="11530" width="17.28515625" style="1" customWidth="1"/>
    <col min="11531" max="11776" width="9.140625" style="1"/>
    <col min="11777" max="11777" width="17" style="1" customWidth="1"/>
    <col min="11778" max="11778" width="52.28515625" style="1" customWidth="1"/>
    <col min="11779" max="11779" width="0" style="1" hidden="1" customWidth="1"/>
    <col min="11780" max="11780" width="19.140625" style="1" customWidth="1"/>
    <col min="11781" max="11781" width="13.7109375" style="1" customWidth="1"/>
    <col min="11782" max="11782" width="18.28515625" style="1" customWidth="1"/>
    <col min="11783" max="11783" width="16.140625" style="1" customWidth="1"/>
    <col min="11784" max="11784" width="18" style="1" customWidth="1"/>
    <col min="11785" max="11785" width="22.42578125" style="1" customWidth="1"/>
    <col min="11786" max="11786" width="17.28515625" style="1" customWidth="1"/>
    <col min="11787" max="12032" width="9.140625" style="1"/>
    <col min="12033" max="12033" width="17" style="1" customWidth="1"/>
    <col min="12034" max="12034" width="52.28515625" style="1" customWidth="1"/>
    <col min="12035" max="12035" width="0" style="1" hidden="1" customWidth="1"/>
    <col min="12036" max="12036" width="19.140625" style="1" customWidth="1"/>
    <col min="12037" max="12037" width="13.7109375" style="1" customWidth="1"/>
    <col min="12038" max="12038" width="18.28515625" style="1" customWidth="1"/>
    <col min="12039" max="12039" width="16.140625" style="1" customWidth="1"/>
    <col min="12040" max="12040" width="18" style="1" customWidth="1"/>
    <col min="12041" max="12041" width="22.42578125" style="1" customWidth="1"/>
    <col min="12042" max="12042" width="17.28515625" style="1" customWidth="1"/>
    <col min="12043" max="12288" width="9.140625" style="1"/>
    <col min="12289" max="12289" width="17" style="1" customWidth="1"/>
    <col min="12290" max="12290" width="52.28515625" style="1" customWidth="1"/>
    <col min="12291" max="12291" width="0" style="1" hidden="1" customWidth="1"/>
    <col min="12292" max="12292" width="19.140625" style="1" customWidth="1"/>
    <col min="12293" max="12293" width="13.7109375" style="1" customWidth="1"/>
    <col min="12294" max="12294" width="18.28515625" style="1" customWidth="1"/>
    <col min="12295" max="12295" width="16.140625" style="1" customWidth="1"/>
    <col min="12296" max="12296" width="18" style="1" customWidth="1"/>
    <col min="12297" max="12297" width="22.42578125" style="1" customWidth="1"/>
    <col min="12298" max="12298" width="17.28515625" style="1" customWidth="1"/>
    <col min="12299" max="12544" width="9.140625" style="1"/>
    <col min="12545" max="12545" width="17" style="1" customWidth="1"/>
    <col min="12546" max="12546" width="52.28515625" style="1" customWidth="1"/>
    <col min="12547" max="12547" width="0" style="1" hidden="1" customWidth="1"/>
    <col min="12548" max="12548" width="19.140625" style="1" customWidth="1"/>
    <col min="12549" max="12549" width="13.7109375" style="1" customWidth="1"/>
    <col min="12550" max="12550" width="18.28515625" style="1" customWidth="1"/>
    <col min="12551" max="12551" width="16.140625" style="1" customWidth="1"/>
    <col min="12552" max="12552" width="18" style="1" customWidth="1"/>
    <col min="12553" max="12553" width="22.42578125" style="1" customWidth="1"/>
    <col min="12554" max="12554" width="17.28515625" style="1" customWidth="1"/>
    <col min="12555" max="12800" width="9.140625" style="1"/>
    <col min="12801" max="12801" width="17" style="1" customWidth="1"/>
    <col min="12802" max="12802" width="52.28515625" style="1" customWidth="1"/>
    <col min="12803" max="12803" width="0" style="1" hidden="1" customWidth="1"/>
    <col min="12804" max="12804" width="19.140625" style="1" customWidth="1"/>
    <col min="12805" max="12805" width="13.7109375" style="1" customWidth="1"/>
    <col min="12806" max="12806" width="18.28515625" style="1" customWidth="1"/>
    <col min="12807" max="12807" width="16.140625" style="1" customWidth="1"/>
    <col min="12808" max="12808" width="18" style="1" customWidth="1"/>
    <col min="12809" max="12809" width="22.42578125" style="1" customWidth="1"/>
    <col min="12810" max="12810" width="17.28515625" style="1" customWidth="1"/>
    <col min="12811" max="13056" width="9.140625" style="1"/>
    <col min="13057" max="13057" width="17" style="1" customWidth="1"/>
    <col min="13058" max="13058" width="52.28515625" style="1" customWidth="1"/>
    <col min="13059" max="13059" width="0" style="1" hidden="1" customWidth="1"/>
    <col min="13060" max="13060" width="19.140625" style="1" customWidth="1"/>
    <col min="13061" max="13061" width="13.7109375" style="1" customWidth="1"/>
    <col min="13062" max="13062" width="18.28515625" style="1" customWidth="1"/>
    <col min="13063" max="13063" width="16.140625" style="1" customWidth="1"/>
    <col min="13064" max="13064" width="18" style="1" customWidth="1"/>
    <col min="13065" max="13065" width="22.42578125" style="1" customWidth="1"/>
    <col min="13066" max="13066" width="17.28515625" style="1" customWidth="1"/>
    <col min="13067" max="13312" width="9.140625" style="1"/>
    <col min="13313" max="13313" width="17" style="1" customWidth="1"/>
    <col min="13314" max="13314" width="52.28515625" style="1" customWidth="1"/>
    <col min="13315" max="13315" width="0" style="1" hidden="1" customWidth="1"/>
    <col min="13316" max="13316" width="19.140625" style="1" customWidth="1"/>
    <col min="13317" max="13317" width="13.7109375" style="1" customWidth="1"/>
    <col min="13318" max="13318" width="18.28515625" style="1" customWidth="1"/>
    <col min="13319" max="13319" width="16.140625" style="1" customWidth="1"/>
    <col min="13320" max="13320" width="18" style="1" customWidth="1"/>
    <col min="13321" max="13321" width="22.42578125" style="1" customWidth="1"/>
    <col min="13322" max="13322" width="17.28515625" style="1" customWidth="1"/>
    <col min="13323" max="13568" width="9.140625" style="1"/>
    <col min="13569" max="13569" width="17" style="1" customWidth="1"/>
    <col min="13570" max="13570" width="52.28515625" style="1" customWidth="1"/>
    <col min="13571" max="13571" width="0" style="1" hidden="1" customWidth="1"/>
    <col min="13572" max="13572" width="19.140625" style="1" customWidth="1"/>
    <col min="13573" max="13573" width="13.7109375" style="1" customWidth="1"/>
    <col min="13574" max="13574" width="18.28515625" style="1" customWidth="1"/>
    <col min="13575" max="13575" width="16.140625" style="1" customWidth="1"/>
    <col min="13576" max="13576" width="18" style="1" customWidth="1"/>
    <col min="13577" max="13577" width="22.42578125" style="1" customWidth="1"/>
    <col min="13578" max="13578" width="17.28515625" style="1" customWidth="1"/>
    <col min="13579" max="13824" width="9.140625" style="1"/>
    <col min="13825" max="13825" width="17" style="1" customWidth="1"/>
    <col min="13826" max="13826" width="52.28515625" style="1" customWidth="1"/>
    <col min="13827" max="13827" width="0" style="1" hidden="1" customWidth="1"/>
    <col min="13828" max="13828" width="19.140625" style="1" customWidth="1"/>
    <col min="13829" max="13829" width="13.7109375" style="1" customWidth="1"/>
    <col min="13830" max="13830" width="18.28515625" style="1" customWidth="1"/>
    <col min="13831" max="13831" width="16.140625" style="1" customWidth="1"/>
    <col min="13832" max="13832" width="18" style="1" customWidth="1"/>
    <col min="13833" max="13833" width="22.42578125" style="1" customWidth="1"/>
    <col min="13834" max="13834" width="17.28515625" style="1" customWidth="1"/>
    <col min="13835" max="14080" width="9.140625" style="1"/>
    <col min="14081" max="14081" width="17" style="1" customWidth="1"/>
    <col min="14082" max="14082" width="52.28515625" style="1" customWidth="1"/>
    <col min="14083" max="14083" width="0" style="1" hidden="1" customWidth="1"/>
    <col min="14084" max="14084" width="19.140625" style="1" customWidth="1"/>
    <col min="14085" max="14085" width="13.7109375" style="1" customWidth="1"/>
    <col min="14086" max="14086" width="18.28515625" style="1" customWidth="1"/>
    <col min="14087" max="14087" width="16.140625" style="1" customWidth="1"/>
    <col min="14088" max="14088" width="18" style="1" customWidth="1"/>
    <col min="14089" max="14089" width="22.42578125" style="1" customWidth="1"/>
    <col min="14090" max="14090" width="17.28515625" style="1" customWidth="1"/>
    <col min="14091" max="14336" width="9.140625" style="1"/>
    <col min="14337" max="14337" width="17" style="1" customWidth="1"/>
    <col min="14338" max="14338" width="52.28515625" style="1" customWidth="1"/>
    <col min="14339" max="14339" width="0" style="1" hidden="1" customWidth="1"/>
    <col min="14340" max="14340" width="19.140625" style="1" customWidth="1"/>
    <col min="14341" max="14341" width="13.7109375" style="1" customWidth="1"/>
    <col min="14342" max="14342" width="18.28515625" style="1" customWidth="1"/>
    <col min="14343" max="14343" width="16.140625" style="1" customWidth="1"/>
    <col min="14344" max="14344" width="18" style="1" customWidth="1"/>
    <col min="14345" max="14345" width="22.42578125" style="1" customWidth="1"/>
    <col min="14346" max="14346" width="17.28515625" style="1" customWidth="1"/>
    <col min="14347" max="14592" width="9.140625" style="1"/>
    <col min="14593" max="14593" width="17" style="1" customWidth="1"/>
    <col min="14594" max="14594" width="52.28515625" style="1" customWidth="1"/>
    <col min="14595" max="14595" width="0" style="1" hidden="1" customWidth="1"/>
    <col min="14596" max="14596" width="19.140625" style="1" customWidth="1"/>
    <col min="14597" max="14597" width="13.7109375" style="1" customWidth="1"/>
    <col min="14598" max="14598" width="18.28515625" style="1" customWidth="1"/>
    <col min="14599" max="14599" width="16.140625" style="1" customWidth="1"/>
    <col min="14600" max="14600" width="18" style="1" customWidth="1"/>
    <col min="14601" max="14601" width="22.42578125" style="1" customWidth="1"/>
    <col min="14602" max="14602" width="17.28515625" style="1" customWidth="1"/>
    <col min="14603" max="14848" width="9.140625" style="1"/>
    <col min="14849" max="14849" width="17" style="1" customWidth="1"/>
    <col min="14850" max="14850" width="52.28515625" style="1" customWidth="1"/>
    <col min="14851" max="14851" width="0" style="1" hidden="1" customWidth="1"/>
    <col min="14852" max="14852" width="19.140625" style="1" customWidth="1"/>
    <col min="14853" max="14853" width="13.7109375" style="1" customWidth="1"/>
    <col min="14854" max="14854" width="18.28515625" style="1" customWidth="1"/>
    <col min="14855" max="14855" width="16.140625" style="1" customWidth="1"/>
    <col min="14856" max="14856" width="18" style="1" customWidth="1"/>
    <col min="14857" max="14857" width="22.42578125" style="1" customWidth="1"/>
    <col min="14858" max="14858" width="17.28515625" style="1" customWidth="1"/>
    <col min="14859" max="15104" width="9.140625" style="1"/>
    <col min="15105" max="15105" width="17" style="1" customWidth="1"/>
    <col min="15106" max="15106" width="52.28515625" style="1" customWidth="1"/>
    <col min="15107" max="15107" width="0" style="1" hidden="1" customWidth="1"/>
    <col min="15108" max="15108" width="19.140625" style="1" customWidth="1"/>
    <col min="15109" max="15109" width="13.7109375" style="1" customWidth="1"/>
    <col min="15110" max="15110" width="18.28515625" style="1" customWidth="1"/>
    <col min="15111" max="15111" width="16.140625" style="1" customWidth="1"/>
    <col min="15112" max="15112" width="18" style="1" customWidth="1"/>
    <col min="15113" max="15113" width="22.42578125" style="1" customWidth="1"/>
    <col min="15114" max="15114" width="17.28515625" style="1" customWidth="1"/>
    <col min="15115" max="15360" width="9.140625" style="1"/>
    <col min="15361" max="15361" width="17" style="1" customWidth="1"/>
    <col min="15362" max="15362" width="52.28515625" style="1" customWidth="1"/>
    <col min="15363" max="15363" width="0" style="1" hidden="1" customWidth="1"/>
    <col min="15364" max="15364" width="19.140625" style="1" customWidth="1"/>
    <col min="15365" max="15365" width="13.7109375" style="1" customWidth="1"/>
    <col min="15366" max="15366" width="18.28515625" style="1" customWidth="1"/>
    <col min="15367" max="15367" width="16.140625" style="1" customWidth="1"/>
    <col min="15368" max="15368" width="18" style="1" customWidth="1"/>
    <col min="15369" max="15369" width="22.42578125" style="1" customWidth="1"/>
    <col min="15370" max="15370" width="17.28515625" style="1" customWidth="1"/>
    <col min="15371" max="15616" width="9.140625" style="1"/>
    <col min="15617" max="15617" width="17" style="1" customWidth="1"/>
    <col min="15618" max="15618" width="52.28515625" style="1" customWidth="1"/>
    <col min="15619" max="15619" width="0" style="1" hidden="1" customWidth="1"/>
    <col min="15620" max="15620" width="19.140625" style="1" customWidth="1"/>
    <col min="15621" max="15621" width="13.7109375" style="1" customWidth="1"/>
    <col min="15622" max="15622" width="18.28515625" style="1" customWidth="1"/>
    <col min="15623" max="15623" width="16.140625" style="1" customWidth="1"/>
    <col min="15624" max="15624" width="18" style="1" customWidth="1"/>
    <col min="15625" max="15625" width="22.42578125" style="1" customWidth="1"/>
    <col min="15626" max="15626" width="17.28515625" style="1" customWidth="1"/>
    <col min="15627" max="15872" width="9.140625" style="1"/>
    <col min="15873" max="15873" width="17" style="1" customWidth="1"/>
    <col min="15874" max="15874" width="52.28515625" style="1" customWidth="1"/>
    <col min="15875" max="15875" width="0" style="1" hidden="1" customWidth="1"/>
    <col min="15876" max="15876" width="19.140625" style="1" customWidth="1"/>
    <col min="15877" max="15877" width="13.7109375" style="1" customWidth="1"/>
    <col min="15878" max="15878" width="18.28515625" style="1" customWidth="1"/>
    <col min="15879" max="15879" width="16.140625" style="1" customWidth="1"/>
    <col min="15880" max="15880" width="18" style="1" customWidth="1"/>
    <col min="15881" max="15881" width="22.42578125" style="1" customWidth="1"/>
    <col min="15882" max="15882" width="17.28515625" style="1" customWidth="1"/>
    <col min="15883" max="16128" width="9.140625" style="1"/>
    <col min="16129" max="16129" width="17" style="1" customWidth="1"/>
    <col min="16130" max="16130" width="52.28515625" style="1" customWidth="1"/>
    <col min="16131" max="16131" width="0" style="1" hidden="1" customWidth="1"/>
    <col min="16132" max="16132" width="19.140625" style="1" customWidth="1"/>
    <col min="16133" max="16133" width="13.7109375" style="1" customWidth="1"/>
    <col min="16134" max="16134" width="18.28515625" style="1" customWidth="1"/>
    <col min="16135" max="16135" width="16.140625" style="1" customWidth="1"/>
    <col min="16136" max="16136" width="18" style="1" customWidth="1"/>
    <col min="16137" max="16137" width="22.42578125" style="1" customWidth="1"/>
    <col min="16138" max="16138" width="17.28515625" style="1" customWidth="1"/>
    <col min="16139" max="16384" width="9.140625" style="1"/>
  </cols>
  <sheetData>
    <row r="1" spans="1:9" x14ac:dyDescent="0.3">
      <c r="A1" s="186" t="s">
        <v>0</v>
      </c>
      <c r="B1" s="186"/>
      <c r="C1" s="186"/>
      <c r="D1" s="186"/>
    </row>
    <row r="2" spans="1:9" x14ac:dyDescent="0.3">
      <c r="A2" s="2"/>
      <c r="B2" s="2"/>
      <c r="C2" s="2"/>
      <c r="D2" s="2"/>
    </row>
    <row r="3" spans="1:9" ht="18.75" customHeight="1" x14ac:dyDescent="0.3">
      <c r="B3" s="3" t="s">
        <v>1</v>
      </c>
      <c r="C3" s="4"/>
      <c r="D3" s="4"/>
    </row>
    <row r="4" spans="1:9" ht="18" customHeight="1" x14ac:dyDescent="0.3">
      <c r="A4" s="5"/>
      <c r="B4" s="6" t="s">
        <v>2</v>
      </c>
      <c r="C4" s="5"/>
      <c r="D4" s="5"/>
    </row>
    <row r="5" spans="1:9" ht="23.25" customHeight="1" x14ac:dyDescent="0.3">
      <c r="A5" s="7"/>
      <c r="B5" s="2" t="s">
        <v>3</v>
      </c>
      <c r="C5" s="7"/>
      <c r="D5" s="7"/>
    </row>
    <row r="6" spans="1:9" s="12" customFormat="1" ht="45.75" hidden="1" customHeight="1" x14ac:dyDescent="0.25">
      <c r="A6" s="8" t="s">
        <v>4</v>
      </c>
      <c r="B6" s="9" t="s">
        <v>5</v>
      </c>
      <c r="C6" s="10" t="s">
        <v>6</v>
      </c>
      <c r="D6" s="11" t="s">
        <v>7</v>
      </c>
    </row>
    <row r="7" spans="1:9" s="12" customFormat="1" ht="15.75" hidden="1" x14ac:dyDescent="0.25">
      <c r="A7" s="13"/>
      <c r="B7" s="14" t="s">
        <v>8</v>
      </c>
      <c r="C7" s="15" t="e">
        <f>#REF!</f>
        <v>#REF!</v>
      </c>
      <c r="D7" s="16" t="e">
        <f>C7/$D$5</f>
        <v>#REF!</v>
      </c>
    </row>
    <row r="8" spans="1:9" s="12" customFormat="1" ht="31.5" hidden="1" x14ac:dyDescent="0.25">
      <c r="A8" s="13"/>
      <c r="B8" s="17" t="s">
        <v>9</v>
      </c>
      <c r="C8" s="15" t="e">
        <f>#REF!</f>
        <v>#REF!</v>
      </c>
      <c r="D8" s="16" t="e">
        <f>C8/$D$5</f>
        <v>#REF!</v>
      </c>
    </row>
    <row r="9" spans="1:9" s="12" customFormat="1" ht="16.5" hidden="1" thickBot="1" x14ac:dyDescent="0.3">
      <c r="A9" s="18"/>
      <c r="B9" s="19" t="s">
        <v>10</v>
      </c>
      <c r="C9" s="20">
        <v>76498.720000000001</v>
      </c>
      <c r="D9" s="21" t="e">
        <f>C9/$D$5</f>
        <v>#DIV/0!</v>
      </c>
    </row>
    <row r="10" spans="1:9" s="12" customFormat="1" ht="16.5" hidden="1" thickBot="1" x14ac:dyDescent="0.3">
      <c r="A10" s="22"/>
      <c r="B10" s="23" t="s">
        <v>11</v>
      </c>
      <c r="C10" s="24" t="e">
        <f>SUM(C7:C9)</f>
        <v>#REF!</v>
      </c>
      <c r="D10" s="25" t="e">
        <f>D9</f>
        <v>#DIV/0!</v>
      </c>
    </row>
    <row r="11" spans="1:9" s="12" customFormat="1" ht="15.75" x14ac:dyDescent="0.25">
      <c r="A11" s="26"/>
      <c r="B11" s="27"/>
      <c r="C11" s="28"/>
      <c r="D11" s="28"/>
    </row>
    <row r="12" spans="1:9" s="12" customFormat="1" ht="121.5" customHeight="1" x14ac:dyDescent="0.25">
      <c r="A12" s="29" t="s">
        <v>12</v>
      </c>
      <c r="B12" s="30" t="s">
        <v>5</v>
      </c>
      <c r="C12" s="30" t="s">
        <v>6</v>
      </c>
      <c r="D12" s="30" t="s">
        <v>13</v>
      </c>
      <c r="E12" s="61"/>
      <c r="F12" s="61"/>
      <c r="G12" s="61"/>
      <c r="H12" s="61"/>
      <c r="I12" s="61"/>
    </row>
    <row r="13" spans="1:9" s="12" customFormat="1" ht="23.25" customHeight="1" x14ac:dyDescent="0.25">
      <c r="A13" s="31"/>
      <c r="B13" s="32" t="s">
        <v>14</v>
      </c>
      <c r="C13" s="32"/>
      <c r="D13" s="33"/>
      <c r="E13" s="61"/>
      <c r="F13" s="61"/>
      <c r="G13" s="70">
        <v>1687</v>
      </c>
      <c r="H13" s="61"/>
      <c r="I13" s="61"/>
    </row>
    <row r="14" spans="1:9" s="12" customFormat="1" ht="15.75" x14ac:dyDescent="0.25">
      <c r="A14" s="34">
        <v>1100</v>
      </c>
      <c r="B14" s="35" t="s">
        <v>15</v>
      </c>
      <c r="C14" s="36" t="e">
        <f>#REF!</f>
        <v>#REF!</v>
      </c>
      <c r="D14" s="37">
        <f>SUM(D15:D16)</f>
        <v>40608</v>
      </c>
      <c r="E14" s="61"/>
      <c r="F14" s="79" t="s">
        <v>16</v>
      </c>
      <c r="G14" s="80">
        <v>3865</v>
      </c>
      <c r="H14" s="61"/>
      <c r="I14" s="61"/>
    </row>
    <row r="15" spans="1:9" s="12" customFormat="1" ht="15.75" x14ac:dyDescent="0.25">
      <c r="A15" s="38">
        <v>1100</v>
      </c>
      <c r="B15" s="39" t="s">
        <v>17</v>
      </c>
      <c r="C15" s="40"/>
      <c r="D15" s="41">
        <f>462*3*12</f>
        <v>16632</v>
      </c>
      <c r="E15" s="61"/>
      <c r="F15" s="79" t="s">
        <v>18</v>
      </c>
      <c r="G15" s="81">
        <f>G14-G13</f>
        <v>2178</v>
      </c>
      <c r="H15" s="61"/>
      <c r="I15" s="61"/>
    </row>
    <row r="16" spans="1:9" s="12" customFormat="1" ht="15.75" x14ac:dyDescent="0.25">
      <c r="A16" s="38">
        <v>1100</v>
      </c>
      <c r="B16" s="39" t="s">
        <v>19</v>
      </c>
      <c r="C16" s="40"/>
      <c r="D16" s="41">
        <f>666*3*12</f>
        <v>23976</v>
      </c>
      <c r="E16" s="61"/>
      <c r="F16" s="61"/>
      <c r="G16" s="82"/>
      <c r="H16" s="61"/>
      <c r="I16" s="61"/>
    </row>
    <row r="17" spans="1:9" s="12" customFormat="1" ht="15.75" x14ac:dyDescent="0.25">
      <c r="A17" s="34">
        <v>1200</v>
      </c>
      <c r="B17" s="35" t="s">
        <v>20</v>
      </c>
      <c r="C17" s="36" t="e">
        <f>#REF!</f>
        <v>#REF!</v>
      </c>
      <c r="D17" s="42">
        <f>ROUND(D14*0.2409,0)</f>
        <v>9782</v>
      </c>
      <c r="E17" s="61"/>
      <c r="F17" s="79" t="s">
        <v>21</v>
      </c>
      <c r="G17" s="83">
        <f>G15/G14</f>
        <v>0.56351875808538165</v>
      </c>
      <c r="H17" s="61"/>
      <c r="I17" s="61"/>
    </row>
    <row r="18" spans="1:9" s="12" customFormat="1" ht="15.75" hidden="1" x14ac:dyDescent="0.25">
      <c r="A18" s="34">
        <v>2100</v>
      </c>
      <c r="B18" s="43" t="s">
        <v>22</v>
      </c>
      <c r="C18" s="36">
        <v>0</v>
      </c>
      <c r="D18" s="42">
        <v>0</v>
      </c>
      <c r="E18" s="61"/>
      <c r="F18" s="61"/>
      <c r="G18" s="79"/>
      <c r="H18" s="84"/>
      <c r="I18" s="61"/>
    </row>
    <row r="19" spans="1:9" s="12" customFormat="1" ht="15.75" x14ac:dyDescent="0.25">
      <c r="A19" s="34">
        <v>2200</v>
      </c>
      <c r="B19" s="43" t="s">
        <v>23</v>
      </c>
      <c r="C19" s="36" t="e">
        <f>SUM(C20:C21)</f>
        <v>#REF!</v>
      </c>
      <c r="D19" s="42">
        <f>SUM(D20:D22)</f>
        <v>23625.811799999999</v>
      </c>
      <c r="E19" s="61"/>
      <c r="F19" s="61"/>
      <c r="G19" s="61"/>
      <c r="H19" s="61"/>
      <c r="I19" s="61"/>
    </row>
    <row r="20" spans="1:9" s="12" customFormat="1" ht="32.25" hidden="1" customHeight="1" x14ac:dyDescent="0.25">
      <c r="A20" s="44">
        <v>2230</v>
      </c>
      <c r="B20" s="45" t="s">
        <v>24</v>
      </c>
      <c r="C20" s="40" t="e">
        <f>#REF!</f>
        <v>#REF!</v>
      </c>
      <c r="D20" s="41">
        <v>0</v>
      </c>
      <c r="E20" s="61"/>
      <c r="F20" s="61"/>
      <c r="G20" s="61"/>
      <c r="H20" s="61"/>
      <c r="I20" s="61"/>
    </row>
    <row r="21" spans="1:9" s="12" customFormat="1" ht="15.75" x14ac:dyDescent="0.25">
      <c r="A21" s="46">
        <v>2240</v>
      </c>
      <c r="B21" s="46" t="s">
        <v>25</v>
      </c>
      <c r="C21" s="47" t="e">
        <f>#REF!</f>
        <v>#REF!</v>
      </c>
      <c r="D21" s="41">
        <f>(([2]Tame!C56+[2]Tame!C87)*0.7)/5</f>
        <v>11204.811799999999</v>
      </c>
      <c r="E21" s="61"/>
      <c r="F21" s="61"/>
      <c r="G21" s="61"/>
      <c r="H21" s="61"/>
      <c r="I21" s="61"/>
    </row>
    <row r="22" spans="1:9" s="12" customFormat="1" ht="15.75" x14ac:dyDescent="0.25">
      <c r="A22" s="46">
        <v>2270</v>
      </c>
      <c r="B22" s="46" t="s">
        <v>26</v>
      </c>
      <c r="C22" s="47"/>
      <c r="D22" s="41">
        <v>12421</v>
      </c>
      <c r="E22" s="61"/>
      <c r="F22" s="61"/>
      <c r="G22" s="61"/>
      <c r="H22" s="61"/>
      <c r="I22" s="61"/>
    </row>
    <row r="23" spans="1:9" s="12" customFormat="1" ht="28.5" customHeight="1" x14ac:dyDescent="0.25">
      <c r="A23" s="48"/>
      <c r="B23" s="49" t="s">
        <v>27</v>
      </c>
      <c r="C23" s="50" t="e">
        <f>C14+#REF!+C17+#REF!+C18+C19+#REF!+#REF!</f>
        <v>#REF!</v>
      </c>
      <c r="D23" s="51">
        <f>D14+D17+D19</f>
        <v>74015.811799999996</v>
      </c>
      <c r="E23" s="61"/>
      <c r="F23" s="61"/>
      <c r="G23" s="61"/>
      <c r="H23" s="61"/>
      <c r="I23" s="61"/>
    </row>
    <row r="24" spans="1:9" s="12" customFormat="1" ht="28.5" customHeight="1" x14ac:dyDescent="0.25">
      <c r="A24" s="52"/>
      <c r="B24" s="48" t="s">
        <v>28</v>
      </c>
      <c r="C24" s="53"/>
      <c r="D24" s="51"/>
      <c r="E24" s="69"/>
      <c r="F24" s="69"/>
      <c r="G24" s="61"/>
      <c r="H24" s="61"/>
      <c r="I24" s="61"/>
    </row>
    <row r="25" spans="1:9" s="12" customFormat="1" ht="15.75" x14ac:dyDescent="0.25">
      <c r="A25" s="38">
        <v>1100</v>
      </c>
      <c r="B25" s="39" t="s">
        <v>29</v>
      </c>
      <c r="C25" s="40"/>
      <c r="D25" s="41">
        <f>(1244)*12*0.05</f>
        <v>746.40000000000009</v>
      </c>
      <c r="E25" s="61"/>
      <c r="F25" s="61"/>
      <c r="G25" s="61"/>
      <c r="H25" s="61"/>
      <c r="I25" s="61"/>
    </row>
    <row r="26" spans="1:9" s="12" customFormat="1" ht="15.75" x14ac:dyDescent="0.25">
      <c r="A26" s="38">
        <v>1100</v>
      </c>
      <c r="B26" s="39" t="s">
        <v>30</v>
      </c>
      <c r="C26" s="40"/>
      <c r="D26" s="41">
        <f>731*12*0.5</f>
        <v>4386</v>
      </c>
      <c r="E26" s="61"/>
      <c r="F26" s="61"/>
      <c r="G26" s="61"/>
      <c r="H26" s="61"/>
      <c r="I26" s="61"/>
    </row>
    <row r="27" spans="1:9" s="12" customFormat="1" ht="15.75" x14ac:dyDescent="0.25">
      <c r="A27" s="34">
        <v>1200</v>
      </c>
      <c r="B27" s="35" t="s">
        <v>20</v>
      </c>
      <c r="C27" s="36" t="e">
        <f>#REF!</f>
        <v>#REF!</v>
      </c>
      <c r="D27" s="42">
        <f>ROUND((D25+D26)*0.2409,0)</f>
        <v>1236</v>
      </c>
      <c r="E27" s="61"/>
      <c r="F27" s="61"/>
      <c r="G27" s="61"/>
      <c r="H27" s="61"/>
      <c r="I27" s="61"/>
    </row>
    <row r="28" spans="1:9" s="12" customFormat="1" ht="15.75" x14ac:dyDescent="0.25">
      <c r="A28" s="34">
        <v>2200</v>
      </c>
      <c r="B28" s="43" t="s">
        <v>23</v>
      </c>
      <c r="C28" s="36" t="e">
        <f>SUM(C29:C39)</f>
        <v>#REF!</v>
      </c>
      <c r="D28" s="42">
        <f>SUM(D29:D30)</f>
        <v>214.45</v>
      </c>
      <c r="E28" s="61"/>
      <c r="F28" s="61"/>
      <c r="G28" s="70">
        <v>1687</v>
      </c>
      <c r="H28" s="61"/>
      <c r="I28" s="61"/>
    </row>
    <row r="29" spans="1:9" s="12" customFormat="1" ht="15.75" x14ac:dyDescent="0.25">
      <c r="A29" s="44">
        <v>2210</v>
      </c>
      <c r="B29" s="44" t="s">
        <v>31</v>
      </c>
      <c r="C29" s="40" t="e">
        <f>#REF!</f>
        <v>#REF!</v>
      </c>
      <c r="D29" s="41">
        <f>[2]Tame!C60*0.5</f>
        <v>174.25</v>
      </c>
      <c r="E29" s="61"/>
      <c r="F29" s="79" t="s">
        <v>16</v>
      </c>
      <c r="G29" s="80">
        <v>3865</v>
      </c>
      <c r="H29" s="61"/>
      <c r="I29" s="61"/>
    </row>
    <row r="30" spans="1:9" s="12" customFormat="1" ht="30.75" customHeight="1" x14ac:dyDescent="0.25">
      <c r="A30" s="44">
        <v>2220</v>
      </c>
      <c r="B30" s="45" t="s">
        <v>32</v>
      </c>
      <c r="C30" s="40" t="e">
        <f>#REF!</f>
        <v>#REF!</v>
      </c>
      <c r="D30" s="41">
        <f>[2]Tame!C63*0.5</f>
        <v>40.200000000000003</v>
      </c>
      <c r="E30" s="61"/>
      <c r="F30" s="79" t="s">
        <v>18</v>
      </c>
      <c r="G30" s="81">
        <f>G29-G28</f>
        <v>2178</v>
      </c>
      <c r="H30" s="61"/>
      <c r="I30" s="61"/>
    </row>
    <row r="31" spans="1:9" s="12" customFormat="1" ht="15.75" x14ac:dyDescent="0.25">
      <c r="A31" s="34">
        <v>2300</v>
      </c>
      <c r="B31" s="43" t="s">
        <v>33</v>
      </c>
      <c r="C31" s="36" t="e">
        <f>SUM(C32:C35)</f>
        <v>#REF!</v>
      </c>
      <c r="D31" s="42">
        <f>SUM(D32:D35)</f>
        <v>23190.093094437252</v>
      </c>
      <c r="E31" s="61"/>
      <c r="F31" s="61"/>
      <c r="G31" s="85">
        <f>G30/G29</f>
        <v>0.56351875808538165</v>
      </c>
      <c r="H31" s="61"/>
      <c r="I31" s="61"/>
    </row>
    <row r="32" spans="1:9" s="12" customFormat="1" ht="20.25" customHeight="1" x14ac:dyDescent="0.25">
      <c r="A32" s="44">
        <v>2311</v>
      </c>
      <c r="B32" s="44" t="s">
        <v>34</v>
      </c>
      <c r="C32" s="40" t="e">
        <f>#REF!</f>
        <v>#REF!</v>
      </c>
      <c r="D32" s="41">
        <f>[2]Tame!C68*0.1</f>
        <v>101.608</v>
      </c>
      <c r="E32" s="61"/>
      <c r="F32" s="61"/>
      <c r="G32" s="61"/>
      <c r="H32" s="61"/>
      <c r="I32" s="61"/>
    </row>
    <row r="33" spans="1:14" s="12" customFormat="1" ht="36" customHeight="1" x14ac:dyDescent="0.25">
      <c r="A33" s="44">
        <v>2320</v>
      </c>
      <c r="B33" s="45" t="s">
        <v>35</v>
      </c>
      <c r="C33" s="40" t="e">
        <f>#REF!</f>
        <v>#REF!</v>
      </c>
      <c r="D33" s="41">
        <f>[2]Tame!C70*0.7</f>
        <v>20065.233999999997</v>
      </c>
      <c r="E33" s="61"/>
      <c r="F33" s="61"/>
      <c r="G33" s="61"/>
      <c r="H33" s="61"/>
      <c r="I33" s="61"/>
    </row>
    <row r="34" spans="1:14" s="12" customFormat="1" ht="31.5" x14ac:dyDescent="0.25">
      <c r="A34" s="46">
        <v>2340</v>
      </c>
      <c r="B34" s="54" t="s">
        <v>36</v>
      </c>
      <c r="C34" s="40" t="e">
        <f>#REF!</f>
        <v>#REF!</v>
      </c>
      <c r="D34" s="41">
        <f>[2]Tame!C73*0.8</f>
        <v>39.408000000000001</v>
      </c>
      <c r="E34" s="61"/>
      <c r="F34" s="61"/>
      <c r="G34" s="61"/>
      <c r="H34" s="61"/>
      <c r="I34" s="61"/>
    </row>
    <row r="35" spans="1:14" s="12" customFormat="1" ht="27" customHeight="1" x14ac:dyDescent="0.25">
      <c r="A35" s="44">
        <v>2350</v>
      </c>
      <c r="B35" s="44" t="s">
        <v>37</v>
      </c>
      <c r="C35" s="40" t="e">
        <f>#REF!</f>
        <v>#REF!</v>
      </c>
      <c r="D35" s="41">
        <f>[2]Tame!C75*G31</f>
        <v>2983.8430944372576</v>
      </c>
    </row>
    <row r="36" spans="1:14" s="12" customFormat="1" ht="29.25" customHeight="1" x14ac:dyDescent="0.25">
      <c r="A36" s="44"/>
      <c r="B36" s="44" t="s">
        <v>38</v>
      </c>
      <c r="C36" s="40"/>
      <c r="D36" s="41">
        <f>E63</f>
        <v>548</v>
      </c>
    </row>
    <row r="37" spans="1:14" s="12" customFormat="1" ht="29.25" customHeight="1" x14ac:dyDescent="0.25">
      <c r="A37" s="52"/>
      <c r="B37" s="48" t="s">
        <v>28</v>
      </c>
      <c r="C37" s="53"/>
      <c r="D37" s="51">
        <f>D25+D26+D27+D28+D31+D36</f>
        <v>30320.943094437251</v>
      </c>
    </row>
    <row r="38" spans="1:14" s="12" customFormat="1" ht="28.5" customHeight="1" x14ac:dyDescent="0.25">
      <c r="A38" s="52"/>
      <c r="B38" s="48" t="s">
        <v>39</v>
      </c>
      <c r="C38" s="53"/>
      <c r="D38" s="51">
        <f>D23+D37</f>
        <v>104336.75489443724</v>
      </c>
      <c r="E38" s="66"/>
      <c r="F38" s="73"/>
      <c r="G38" s="73"/>
      <c r="H38" s="73"/>
      <c r="I38" s="73"/>
      <c r="J38" s="73"/>
      <c r="K38" s="73"/>
      <c r="L38" s="73"/>
      <c r="M38" s="73"/>
      <c r="N38" s="73"/>
    </row>
    <row r="39" spans="1:14" s="12" customFormat="1" ht="28.5" customHeight="1" x14ac:dyDescent="0.25">
      <c r="A39" s="52"/>
      <c r="B39" s="48" t="s">
        <v>40</v>
      </c>
      <c r="C39" s="53"/>
      <c r="D39" s="50">
        <f>(D38)/D41</f>
        <v>4.5288981202551106</v>
      </c>
      <c r="E39" s="66"/>
      <c r="F39" s="73"/>
      <c r="G39" s="73"/>
      <c r="H39" s="73"/>
      <c r="I39" s="73"/>
      <c r="J39" s="73"/>
      <c r="K39" s="73"/>
      <c r="L39" s="73"/>
      <c r="M39" s="73"/>
      <c r="N39" s="73"/>
    </row>
    <row r="40" spans="1:14" s="12" customFormat="1" ht="24.75" customHeight="1" x14ac:dyDescent="0.25">
      <c r="A40" s="52"/>
      <c r="B40" s="48" t="s">
        <v>41</v>
      </c>
      <c r="C40" s="53"/>
      <c r="D40" s="50">
        <f>D39*1.21</f>
        <v>5.4799667255086835</v>
      </c>
      <c r="E40" s="66"/>
      <c r="F40" s="66"/>
      <c r="G40" s="73"/>
      <c r="H40" s="73"/>
      <c r="I40" s="73"/>
      <c r="J40" s="73"/>
      <c r="K40" s="73"/>
      <c r="L40" s="73"/>
      <c r="M40" s="73"/>
      <c r="N40" s="73"/>
    </row>
    <row r="41" spans="1:14" s="12" customFormat="1" ht="48.75" customHeight="1" x14ac:dyDescent="0.25">
      <c r="A41" s="187" t="s">
        <v>42</v>
      </c>
      <c r="B41" s="188"/>
      <c r="C41" s="37">
        <v>574</v>
      </c>
      <c r="D41" s="55">
        <f>[2]Apmeklējums!N37+4500</f>
        <v>23038</v>
      </c>
      <c r="E41" s="66" t="s">
        <v>43</v>
      </c>
      <c r="F41" s="66" t="s">
        <v>44</v>
      </c>
      <c r="G41" s="66" t="s">
        <v>45</v>
      </c>
      <c r="H41" s="66" t="s">
        <v>46</v>
      </c>
      <c r="I41" s="66" t="s">
        <v>47</v>
      </c>
      <c r="J41" s="66" t="s">
        <v>45</v>
      </c>
      <c r="K41" s="73"/>
      <c r="L41" s="73"/>
      <c r="M41" s="73"/>
      <c r="N41" s="73"/>
    </row>
    <row r="42" spans="1:14" ht="37.5" customHeight="1" x14ac:dyDescent="0.3">
      <c r="A42" s="179" t="s">
        <v>48</v>
      </c>
      <c r="B42" s="180"/>
      <c r="C42" s="56"/>
      <c r="D42" s="57">
        <v>0</v>
      </c>
      <c r="E42" s="74"/>
      <c r="F42" s="75">
        <v>20160</v>
      </c>
      <c r="G42" s="76">
        <f>D42*F42</f>
        <v>0</v>
      </c>
      <c r="H42" s="77"/>
      <c r="I42" s="77"/>
      <c r="J42" s="76">
        <f>G42*I42</f>
        <v>0</v>
      </c>
      <c r="K42" s="74"/>
      <c r="L42" s="74"/>
      <c r="M42" s="74"/>
      <c r="N42" s="74"/>
    </row>
    <row r="43" spans="1:14" ht="37.5" customHeight="1" x14ac:dyDescent="0.3">
      <c r="A43" s="179" t="s">
        <v>49</v>
      </c>
      <c r="B43" s="180"/>
      <c r="C43" s="56"/>
      <c r="D43" s="57">
        <v>0</v>
      </c>
      <c r="E43" s="74"/>
      <c r="F43" s="75">
        <v>5616</v>
      </c>
      <c r="G43" s="76">
        <f>D43*F43</f>
        <v>0</v>
      </c>
      <c r="H43" s="77"/>
      <c r="I43" s="77"/>
      <c r="J43" s="76">
        <f>G43*I43</f>
        <v>0</v>
      </c>
      <c r="K43" s="74"/>
      <c r="L43" s="74"/>
      <c r="M43" s="74"/>
      <c r="N43" s="74"/>
    </row>
    <row r="44" spans="1:14" ht="37.5" customHeight="1" x14ac:dyDescent="0.3">
      <c r="A44" s="179" t="s">
        <v>50</v>
      </c>
      <c r="B44" s="180"/>
      <c r="C44" s="56"/>
      <c r="D44" s="57">
        <v>4.55</v>
      </c>
      <c r="E44" s="75">
        <f>D44*1.21</f>
        <v>5.5054999999999996</v>
      </c>
      <c r="F44" s="75">
        <v>12977</v>
      </c>
      <c r="G44" s="76">
        <f>4.13*F44</f>
        <v>53595.01</v>
      </c>
      <c r="H44" s="77">
        <f>I44/121*100</f>
        <v>4.5454545454545459</v>
      </c>
      <c r="I44" s="77">
        <f>5.5</f>
        <v>5.5</v>
      </c>
      <c r="J44" s="76">
        <f>F44*H44</f>
        <v>58986.36363636364</v>
      </c>
      <c r="K44" s="74"/>
      <c r="L44" s="74"/>
      <c r="M44" s="74"/>
      <c r="N44" s="74"/>
    </row>
    <row r="45" spans="1:14" ht="37.5" customHeight="1" x14ac:dyDescent="0.3">
      <c r="A45" s="179" t="s">
        <v>51</v>
      </c>
      <c r="B45" s="180"/>
      <c r="C45" s="56"/>
      <c r="D45" s="57">
        <v>2.27</v>
      </c>
      <c r="E45" s="75">
        <f>D45*1.21</f>
        <v>2.7467000000000001</v>
      </c>
      <c r="F45" s="75">
        <v>4066</v>
      </c>
      <c r="G45" s="76">
        <f>2.07*F45</f>
        <v>8416.619999999999</v>
      </c>
      <c r="H45" s="77">
        <f>I45/121*100</f>
        <v>2.7272727272727271</v>
      </c>
      <c r="I45" s="77">
        <v>3.3</v>
      </c>
      <c r="J45" s="76">
        <f>F45*H45</f>
        <v>11089.090909090908</v>
      </c>
      <c r="K45" s="74"/>
      <c r="L45" s="74"/>
      <c r="M45" s="74"/>
      <c r="N45" s="74"/>
    </row>
    <row r="46" spans="1:14" ht="37.5" customHeight="1" x14ac:dyDescent="0.3">
      <c r="A46" s="179" t="s">
        <v>52</v>
      </c>
      <c r="B46" s="180"/>
      <c r="C46" s="56"/>
      <c r="D46" s="57">
        <v>8.18</v>
      </c>
      <c r="E46" s="75">
        <f>D46*1.21</f>
        <v>9.8978000000000002</v>
      </c>
      <c r="F46" s="75">
        <v>154</v>
      </c>
      <c r="G46" s="76">
        <f>7.44*F46</f>
        <v>1145.76</v>
      </c>
      <c r="H46" s="77">
        <f>I46/121*100</f>
        <v>8.1818181818181817</v>
      </c>
      <c r="I46" s="77">
        <v>9.9</v>
      </c>
      <c r="J46" s="76">
        <f>F46*H46</f>
        <v>1260</v>
      </c>
      <c r="K46" s="74"/>
      <c r="L46" s="74"/>
      <c r="M46" s="74"/>
      <c r="N46" s="74"/>
    </row>
    <row r="47" spans="1:14" ht="37.5" customHeight="1" x14ac:dyDescent="0.3">
      <c r="A47" s="179" t="s">
        <v>53</v>
      </c>
      <c r="B47" s="180"/>
      <c r="C47" s="56"/>
      <c r="D47" s="57">
        <v>5.45</v>
      </c>
      <c r="E47" s="75">
        <f>D47*1.21</f>
        <v>6.5945</v>
      </c>
      <c r="F47" s="75">
        <v>785</v>
      </c>
      <c r="G47" s="76">
        <f>4.96*F47</f>
        <v>3893.6</v>
      </c>
      <c r="H47" s="77">
        <f>I47/121*100</f>
        <v>5.4545454545454541</v>
      </c>
      <c r="I47" s="77">
        <v>6.6</v>
      </c>
      <c r="J47" s="76">
        <f>F47*H47</f>
        <v>4281.8181818181811</v>
      </c>
      <c r="K47" s="74"/>
      <c r="L47" s="74"/>
      <c r="M47" s="74"/>
      <c r="N47" s="74"/>
    </row>
    <row r="48" spans="1:14" ht="37.5" customHeight="1" x14ac:dyDescent="0.3">
      <c r="A48" s="179" t="s">
        <v>54</v>
      </c>
      <c r="B48" s="180"/>
      <c r="C48" s="56"/>
      <c r="D48" s="57">
        <v>1.36</v>
      </c>
      <c r="E48" s="77">
        <f>D48*1.21</f>
        <v>1.6456000000000002</v>
      </c>
      <c r="F48" s="75">
        <v>556</v>
      </c>
      <c r="G48" s="76">
        <f>1.24*F48</f>
        <v>689.43999999999994</v>
      </c>
      <c r="H48" s="77">
        <f>I48/121*100</f>
        <v>1.8181818181818183</v>
      </c>
      <c r="I48" s="77">
        <v>2.2000000000000002</v>
      </c>
      <c r="J48" s="76">
        <f>F48*H48</f>
        <v>1010.909090909091</v>
      </c>
      <c r="K48" s="74"/>
      <c r="L48" s="74"/>
      <c r="M48" s="74"/>
      <c r="N48" s="74"/>
    </row>
    <row r="49" spans="1:14" ht="37.5" customHeight="1" x14ac:dyDescent="0.3">
      <c r="A49" s="181" t="s">
        <v>55</v>
      </c>
      <c r="B49" s="182"/>
      <c r="C49" s="53"/>
      <c r="D49" s="51">
        <f>SUM(G42:G48)</f>
        <v>67740.430000000008</v>
      </c>
      <c r="E49" s="73"/>
      <c r="F49" s="73"/>
      <c r="G49" s="74"/>
      <c r="H49" s="74"/>
      <c r="I49" s="78">
        <f>J44+J45+J46+J47+J48</f>
        <v>76628.181818181809</v>
      </c>
      <c r="J49" s="74"/>
      <c r="K49" s="74"/>
      <c r="L49" s="74"/>
      <c r="M49" s="74"/>
      <c r="N49" s="74"/>
    </row>
    <row r="50" spans="1:14" s="59" customFormat="1" hidden="1" outlineLevel="1" x14ac:dyDescent="0.3">
      <c r="B50" s="183" t="s">
        <v>56</v>
      </c>
      <c r="C50" s="183"/>
      <c r="D50" s="60">
        <f>D49-D38</f>
        <v>-36596.324894437232</v>
      </c>
      <c r="E50" s="73"/>
      <c r="F50" s="73"/>
      <c r="G50" s="74"/>
      <c r="H50" s="74"/>
      <c r="I50" s="78">
        <f>I49-D38</f>
        <v>-27708.57307625543</v>
      </c>
      <c r="J50" s="74"/>
      <c r="K50" s="74"/>
      <c r="L50" s="74"/>
      <c r="M50" s="74"/>
      <c r="N50" s="74"/>
    </row>
    <row r="51" spans="1:14" s="65" customFormat="1" hidden="1" outlineLevel="1" x14ac:dyDescent="0.3">
      <c r="B51" s="66" t="s">
        <v>57</v>
      </c>
      <c r="C51" s="67"/>
      <c r="D51" s="68">
        <f>D49+(F42+F43)*2.27</f>
        <v>126251.95000000001</v>
      </c>
      <c r="E51" s="74"/>
      <c r="F51" s="74"/>
      <c r="G51" s="74"/>
      <c r="H51" s="74"/>
      <c r="I51" s="78">
        <f>I49+(F42+F43)*2.73</f>
        <v>146996.6618181818</v>
      </c>
      <c r="J51" s="74"/>
      <c r="K51" s="74"/>
      <c r="L51" s="74"/>
      <c r="M51" s="74"/>
      <c r="N51" s="74"/>
    </row>
    <row r="52" spans="1:14" s="65" customFormat="1" hidden="1" outlineLevel="1" x14ac:dyDescent="0.3">
      <c r="B52" s="184" t="s">
        <v>58</v>
      </c>
      <c r="C52" s="185"/>
      <c r="D52" s="68">
        <f>D51-D38</f>
        <v>21915.195105562772</v>
      </c>
      <c r="E52" s="74"/>
      <c r="F52" s="74"/>
      <c r="G52" s="74"/>
      <c r="H52" s="74"/>
      <c r="I52" s="78">
        <f>I51-D38</f>
        <v>42659.906923744566</v>
      </c>
      <c r="J52" s="74"/>
      <c r="K52" s="74"/>
      <c r="L52" s="74"/>
      <c r="M52" s="74"/>
      <c r="N52" s="74"/>
    </row>
    <row r="53" spans="1:14" s="59" customFormat="1" collapsed="1" x14ac:dyDescent="0.3"/>
    <row r="54" spans="1:14" s="178" customFormat="1" x14ac:dyDescent="0.3">
      <c r="A54" s="178" t="s">
        <v>59</v>
      </c>
    </row>
    <row r="55" spans="1:14" s="59" customFormat="1" x14ac:dyDescent="0.3"/>
    <row r="56" spans="1:14" s="59" customFormat="1" x14ac:dyDescent="0.3"/>
    <row r="57" spans="1:14" s="59" customFormat="1" x14ac:dyDescent="0.3"/>
    <row r="58" spans="1:14" s="59" customFormat="1" ht="24" x14ac:dyDescent="0.3">
      <c r="D58" s="62" t="s">
        <v>60</v>
      </c>
      <c r="E58" s="63">
        <v>230</v>
      </c>
    </row>
    <row r="59" spans="1:14" s="59" customFormat="1" x14ac:dyDescent="0.3">
      <c r="D59" s="62" t="s">
        <v>61</v>
      </c>
      <c r="E59" s="63">
        <v>14</v>
      </c>
    </row>
    <row r="60" spans="1:14" s="59" customFormat="1" x14ac:dyDescent="0.3">
      <c r="D60" s="62" t="s">
        <v>62</v>
      </c>
      <c r="E60" s="63">
        <v>46</v>
      </c>
    </row>
    <row r="61" spans="1:14" s="59" customFormat="1" ht="24" x14ac:dyDescent="0.3">
      <c r="D61" s="62" t="s">
        <v>63</v>
      </c>
      <c r="E61" s="63">
        <v>210</v>
      </c>
    </row>
    <row r="62" spans="1:14" s="59" customFormat="1" ht="24" x14ac:dyDescent="0.3">
      <c r="D62" s="62" t="s">
        <v>64</v>
      </c>
      <c r="E62" s="63">
        <v>48</v>
      </c>
    </row>
    <row r="63" spans="1:14" s="59" customFormat="1" x14ac:dyDescent="0.3">
      <c r="E63" s="64">
        <f>SUM(E58:E62)</f>
        <v>548</v>
      </c>
    </row>
    <row r="64" spans="1:14" s="59" customFormat="1" x14ac:dyDescent="0.3"/>
  </sheetData>
  <mergeCells count="12">
    <mergeCell ref="B52:C52"/>
    <mergeCell ref="A1:D1"/>
    <mergeCell ref="A41:B41"/>
    <mergeCell ref="A42:B42"/>
    <mergeCell ref="A43:B43"/>
    <mergeCell ref="A44:B44"/>
    <mergeCell ref="A45:B45"/>
    <mergeCell ref="A46:B46"/>
    <mergeCell ref="A47:B47"/>
    <mergeCell ref="A48:B48"/>
    <mergeCell ref="A49:B49"/>
    <mergeCell ref="B50:C50"/>
  </mergeCells>
  <printOptions horizontalCentered="1"/>
  <pageMargins left="0.74803149606299213" right="0.74803149606299213" top="0.78740157480314965" bottom="0.59055118110236227" header="0" footer="0"/>
  <pageSetup paperSize="9" scale="64" orientation="portrait" r:id="rId1"/>
  <headerFooter alignWithMargins="0"/>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900FB-3081-44A1-8CA6-EB6242192BE4}">
  <sheetPr>
    <tabColor rgb="FF92D050"/>
  </sheetPr>
  <dimension ref="A1:L53"/>
  <sheetViews>
    <sheetView topLeftCell="A33" zoomScale="90" zoomScaleNormal="90" workbookViewId="0">
      <selection activeCell="B59" sqref="B59"/>
    </sheetView>
  </sheetViews>
  <sheetFormatPr defaultRowHeight="18.75" x14ac:dyDescent="0.3"/>
  <cols>
    <col min="1" max="1" width="17" style="1" customWidth="1"/>
    <col min="2" max="2" width="71.5703125" style="1" customWidth="1"/>
    <col min="3" max="3" width="19.140625" style="1" hidden="1" customWidth="1"/>
    <col min="4" max="4" width="19.140625" style="1" customWidth="1"/>
    <col min="5" max="5" width="22.7109375" style="74" customWidth="1"/>
    <col min="6" max="6" width="19.42578125" style="74" customWidth="1"/>
    <col min="7" max="7" width="27" style="74" customWidth="1"/>
    <col min="8" max="8" width="22.7109375" style="74" customWidth="1"/>
    <col min="9" max="9" width="9.140625" style="74"/>
    <col min="10" max="12" width="9.140625" style="65"/>
    <col min="13" max="256" width="9.140625" style="1"/>
    <col min="257" max="257" width="17" style="1" customWidth="1"/>
    <col min="258" max="258" width="71.5703125" style="1" customWidth="1"/>
    <col min="259" max="259" width="0" style="1" hidden="1" customWidth="1"/>
    <col min="260" max="260" width="19.140625" style="1" customWidth="1"/>
    <col min="261" max="261" width="22.7109375" style="1" customWidth="1"/>
    <col min="262" max="262" width="19.42578125" style="1" customWidth="1"/>
    <col min="263" max="263" width="27" style="1" customWidth="1"/>
    <col min="264" max="264" width="22.7109375" style="1" customWidth="1"/>
    <col min="265" max="512" width="9.140625" style="1"/>
    <col min="513" max="513" width="17" style="1" customWidth="1"/>
    <col min="514" max="514" width="71.5703125" style="1" customWidth="1"/>
    <col min="515" max="515" width="0" style="1" hidden="1" customWidth="1"/>
    <col min="516" max="516" width="19.140625" style="1" customWidth="1"/>
    <col min="517" max="517" width="22.7109375" style="1" customWidth="1"/>
    <col min="518" max="518" width="19.42578125" style="1" customWidth="1"/>
    <col min="519" max="519" width="27" style="1" customWidth="1"/>
    <col min="520" max="520" width="22.7109375" style="1" customWidth="1"/>
    <col min="521" max="768" width="9.140625" style="1"/>
    <col min="769" max="769" width="17" style="1" customWidth="1"/>
    <col min="770" max="770" width="71.5703125" style="1" customWidth="1"/>
    <col min="771" max="771" width="0" style="1" hidden="1" customWidth="1"/>
    <col min="772" max="772" width="19.140625" style="1" customWidth="1"/>
    <col min="773" max="773" width="22.7109375" style="1" customWidth="1"/>
    <col min="774" max="774" width="19.42578125" style="1" customWidth="1"/>
    <col min="775" max="775" width="27" style="1" customWidth="1"/>
    <col min="776" max="776" width="22.7109375" style="1" customWidth="1"/>
    <col min="777" max="1024" width="9.140625" style="1"/>
    <col min="1025" max="1025" width="17" style="1" customWidth="1"/>
    <col min="1026" max="1026" width="71.5703125" style="1" customWidth="1"/>
    <col min="1027" max="1027" width="0" style="1" hidden="1" customWidth="1"/>
    <col min="1028" max="1028" width="19.140625" style="1" customWidth="1"/>
    <col min="1029" max="1029" width="22.7109375" style="1" customWidth="1"/>
    <col min="1030" max="1030" width="19.42578125" style="1" customWidth="1"/>
    <col min="1031" max="1031" width="27" style="1" customWidth="1"/>
    <col min="1032" max="1032" width="22.7109375" style="1" customWidth="1"/>
    <col min="1033" max="1280" width="9.140625" style="1"/>
    <col min="1281" max="1281" width="17" style="1" customWidth="1"/>
    <col min="1282" max="1282" width="71.5703125" style="1" customWidth="1"/>
    <col min="1283" max="1283" width="0" style="1" hidden="1" customWidth="1"/>
    <col min="1284" max="1284" width="19.140625" style="1" customWidth="1"/>
    <col min="1285" max="1285" width="22.7109375" style="1" customWidth="1"/>
    <col min="1286" max="1286" width="19.42578125" style="1" customWidth="1"/>
    <col min="1287" max="1287" width="27" style="1" customWidth="1"/>
    <col min="1288" max="1288" width="22.7109375" style="1" customWidth="1"/>
    <col min="1289" max="1536" width="9.140625" style="1"/>
    <col min="1537" max="1537" width="17" style="1" customWidth="1"/>
    <col min="1538" max="1538" width="71.5703125" style="1" customWidth="1"/>
    <col min="1539" max="1539" width="0" style="1" hidden="1" customWidth="1"/>
    <col min="1540" max="1540" width="19.140625" style="1" customWidth="1"/>
    <col min="1541" max="1541" width="22.7109375" style="1" customWidth="1"/>
    <col min="1542" max="1542" width="19.42578125" style="1" customWidth="1"/>
    <col min="1543" max="1543" width="27" style="1" customWidth="1"/>
    <col min="1544" max="1544" width="22.7109375" style="1" customWidth="1"/>
    <col min="1545" max="1792" width="9.140625" style="1"/>
    <col min="1793" max="1793" width="17" style="1" customWidth="1"/>
    <col min="1794" max="1794" width="71.5703125" style="1" customWidth="1"/>
    <col min="1795" max="1795" width="0" style="1" hidden="1" customWidth="1"/>
    <col min="1796" max="1796" width="19.140625" style="1" customWidth="1"/>
    <col min="1797" max="1797" width="22.7109375" style="1" customWidth="1"/>
    <col min="1798" max="1798" width="19.42578125" style="1" customWidth="1"/>
    <col min="1799" max="1799" width="27" style="1" customWidth="1"/>
    <col min="1800" max="1800" width="22.7109375" style="1" customWidth="1"/>
    <col min="1801" max="2048" width="9.140625" style="1"/>
    <col min="2049" max="2049" width="17" style="1" customWidth="1"/>
    <col min="2050" max="2050" width="71.5703125" style="1" customWidth="1"/>
    <col min="2051" max="2051" width="0" style="1" hidden="1" customWidth="1"/>
    <col min="2052" max="2052" width="19.140625" style="1" customWidth="1"/>
    <col min="2053" max="2053" width="22.7109375" style="1" customWidth="1"/>
    <col min="2054" max="2054" width="19.42578125" style="1" customWidth="1"/>
    <col min="2055" max="2055" width="27" style="1" customWidth="1"/>
    <col min="2056" max="2056" width="22.7109375" style="1" customWidth="1"/>
    <col min="2057" max="2304" width="9.140625" style="1"/>
    <col min="2305" max="2305" width="17" style="1" customWidth="1"/>
    <col min="2306" max="2306" width="71.5703125" style="1" customWidth="1"/>
    <col min="2307" max="2307" width="0" style="1" hidden="1" customWidth="1"/>
    <col min="2308" max="2308" width="19.140625" style="1" customWidth="1"/>
    <col min="2309" max="2309" width="22.7109375" style="1" customWidth="1"/>
    <col min="2310" max="2310" width="19.42578125" style="1" customWidth="1"/>
    <col min="2311" max="2311" width="27" style="1" customWidth="1"/>
    <col min="2312" max="2312" width="22.7109375" style="1" customWidth="1"/>
    <col min="2313" max="2560" width="9.140625" style="1"/>
    <col min="2561" max="2561" width="17" style="1" customWidth="1"/>
    <col min="2562" max="2562" width="71.5703125" style="1" customWidth="1"/>
    <col min="2563" max="2563" width="0" style="1" hidden="1" customWidth="1"/>
    <col min="2564" max="2564" width="19.140625" style="1" customWidth="1"/>
    <col min="2565" max="2565" width="22.7109375" style="1" customWidth="1"/>
    <col min="2566" max="2566" width="19.42578125" style="1" customWidth="1"/>
    <col min="2567" max="2567" width="27" style="1" customWidth="1"/>
    <col min="2568" max="2568" width="22.7109375" style="1" customWidth="1"/>
    <col min="2569" max="2816" width="9.140625" style="1"/>
    <col min="2817" max="2817" width="17" style="1" customWidth="1"/>
    <col min="2818" max="2818" width="71.5703125" style="1" customWidth="1"/>
    <col min="2819" max="2819" width="0" style="1" hidden="1" customWidth="1"/>
    <col min="2820" max="2820" width="19.140625" style="1" customWidth="1"/>
    <col min="2821" max="2821" width="22.7109375" style="1" customWidth="1"/>
    <col min="2822" max="2822" width="19.42578125" style="1" customWidth="1"/>
    <col min="2823" max="2823" width="27" style="1" customWidth="1"/>
    <col min="2824" max="2824" width="22.7109375" style="1" customWidth="1"/>
    <col min="2825" max="3072" width="9.140625" style="1"/>
    <col min="3073" max="3073" width="17" style="1" customWidth="1"/>
    <col min="3074" max="3074" width="71.5703125" style="1" customWidth="1"/>
    <col min="3075" max="3075" width="0" style="1" hidden="1" customWidth="1"/>
    <col min="3076" max="3076" width="19.140625" style="1" customWidth="1"/>
    <col min="3077" max="3077" width="22.7109375" style="1" customWidth="1"/>
    <col min="3078" max="3078" width="19.42578125" style="1" customWidth="1"/>
    <col min="3079" max="3079" width="27" style="1" customWidth="1"/>
    <col min="3080" max="3080" width="22.7109375" style="1" customWidth="1"/>
    <col min="3081" max="3328" width="9.140625" style="1"/>
    <col min="3329" max="3329" width="17" style="1" customWidth="1"/>
    <col min="3330" max="3330" width="71.5703125" style="1" customWidth="1"/>
    <col min="3331" max="3331" width="0" style="1" hidden="1" customWidth="1"/>
    <col min="3332" max="3332" width="19.140625" style="1" customWidth="1"/>
    <col min="3333" max="3333" width="22.7109375" style="1" customWidth="1"/>
    <col min="3334" max="3334" width="19.42578125" style="1" customWidth="1"/>
    <col min="3335" max="3335" width="27" style="1" customWidth="1"/>
    <col min="3336" max="3336" width="22.7109375" style="1" customWidth="1"/>
    <col min="3337" max="3584" width="9.140625" style="1"/>
    <col min="3585" max="3585" width="17" style="1" customWidth="1"/>
    <col min="3586" max="3586" width="71.5703125" style="1" customWidth="1"/>
    <col min="3587" max="3587" width="0" style="1" hidden="1" customWidth="1"/>
    <col min="3588" max="3588" width="19.140625" style="1" customWidth="1"/>
    <col min="3589" max="3589" width="22.7109375" style="1" customWidth="1"/>
    <col min="3590" max="3590" width="19.42578125" style="1" customWidth="1"/>
    <col min="3591" max="3591" width="27" style="1" customWidth="1"/>
    <col min="3592" max="3592" width="22.7109375" style="1" customWidth="1"/>
    <col min="3593" max="3840" width="9.140625" style="1"/>
    <col min="3841" max="3841" width="17" style="1" customWidth="1"/>
    <col min="3842" max="3842" width="71.5703125" style="1" customWidth="1"/>
    <col min="3843" max="3843" width="0" style="1" hidden="1" customWidth="1"/>
    <col min="3844" max="3844" width="19.140625" style="1" customWidth="1"/>
    <col min="3845" max="3845" width="22.7109375" style="1" customWidth="1"/>
    <col min="3846" max="3846" width="19.42578125" style="1" customWidth="1"/>
    <col min="3847" max="3847" width="27" style="1" customWidth="1"/>
    <col min="3848" max="3848" width="22.7109375" style="1" customWidth="1"/>
    <col min="3849" max="4096" width="9.140625" style="1"/>
    <col min="4097" max="4097" width="17" style="1" customWidth="1"/>
    <col min="4098" max="4098" width="71.5703125" style="1" customWidth="1"/>
    <col min="4099" max="4099" width="0" style="1" hidden="1" customWidth="1"/>
    <col min="4100" max="4100" width="19.140625" style="1" customWidth="1"/>
    <col min="4101" max="4101" width="22.7109375" style="1" customWidth="1"/>
    <col min="4102" max="4102" width="19.42578125" style="1" customWidth="1"/>
    <col min="4103" max="4103" width="27" style="1" customWidth="1"/>
    <col min="4104" max="4104" width="22.7109375" style="1" customWidth="1"/>
    <col min="4105" max="4352" width="9.140625" style="1"/>
    <col min="4353" max="4353" width="17" style="1" customWidth="1"/>
    <col min="4354" max="4354" width="71.5703125" style="1" customWidth="1"/>
    <col min="4355" max="4355" width="0" style="1" hidden="1" customWidth="1"/>
    <col min="4356" max="4356" width="19.140625" style="1" customWidth="1"/>
    <col min="4357" max="4357" width="22.7109375" style="1" customWidth="1"/>
    <col min="4358" max="4358" width="19.42578125" style="1" customWidth="1"/>
    <col min="4359" max="4359" width="27" style="1" customWidth="1"/>
    <col min="4360" max="4360" width="22.7109375" style="1" customWidth="1"/>
    <col min="4361" max="4608" width="9.140625" style="1"/>
    <col min="4609" max="4609" width="17" style="1" customWidth="1"/>
    <col min="4610" max="4610" width="71.5703125" style="1" customWidth="1"/>
    <col min="4611" max="4611" width="0" style="1" hidden="1" customWidth="1"/>
    <col min="4612" max="4612" width="19.140625" style="1" customWidth="1"/>
    <col min="4613" max="4613" width="22.7109375" style="1" customWidth="1"/>
    <col min="4614" max="4614" width="19.42578125" style="1" customWidth="1"/>
    <col min="4615" max="4615" width="27" style="1" customWidth="1"/>
    <col min="4616" max="4616" width="22.7109375" style="1" customWidth="1"/>
    <col min="4617" max="4864" width="9.140625" style="1"/>
    <col min="4865" max="4865" width="17" style="1" customWidth="1"/>
    <col min="4866" max="4866" width="71.5703125" style="1" customWidth="1"/>
    <col min="4867" max="4867" width="0" style="1" hidden="1" customWidth="1"/>
    <col min="4868" max="4868" width="19.140625" style="1" customWidth="1"/>
    <col min="4869" max="4869" width="22.7109375" style="1" customWidth="1"/>
    <col min="4870" max="4870" width="19.42578125" style="1" customWidth="1"/>
    <col min="4871" max="4871" width="27" style="1" customWidth="1"/>
    <col min="4872" max="4872" width="22.7109375" style="1" customWidth="1"/>
    <col min="4873" max="5120" width="9.140625" style="1"/>
    <col min="5121" max="5121" width="17" style="1" customWidth="1"/>
    <col min="5122" max="5122" width="71.5703125" style="1" customWidth="1"/>
    <col min="5123" max="5123" width="0" style="1" hidden="1" customWidth="1"/>
    <col min="5124" max="5124" width="19.140625" style="1" customWidth="1"/>
    <col min="5125" max="5125" width="22.7109375" style="1" customWidth="1"/>
    <col min="5126" max="5126" width="19.42578125" style="1" customWidth="1"/>
    <col min="5127" max="5127" width="27" style="1" customWidth="1"/>
    <col min="5128" max="5128" width="22.7109375" style="1" customWidth="1"/>
    <col min="5129" max="5376" width="9.140625" style="1"/>
    <col min="5377" max="5377" width="17" style="1" customWidth="1"/>
    <col min="5378" max="5378" width="71.5703125" style="1" customWidth="1"/>
    <col min="5379" max="5379" width="0" style="1" hidden="1" customWidth="1"/>
    <col min="5380" max="5380" width="19.140625" style="1" customWidth="1"/>
    <col min="5381" max="5381" width="22.7109375" style="1" customWidth="1"/>
    <col min="5382" max="5382" width="19.42578125" style="1" customWidth="1"/>
    <col min="5383" max="5383" width="27" style="1" customWidth="1"/>
    <col min="5384" max="5384" width="22.7109375" style="1" customWidth="1"/>
    <col min="5385" max="5632" width="9.140625" style="1"/>
    <col min="5633" max="5633" width="17" style="1" customWidth="1"/>
    <col min="5634" max="5634" width="71.5703125" style="1" customWidth="1"/>
    <col min="5635" max="5635" width="0" style="1" hidden="1" customWidth="1"/>
    <col min="5636" max="5636" width="19.140625" style="1" customWidth="1"/>
    <col min="5637" max="5637" width="22.7109375" style="1" customWidth="1"/>
    <col min="5638" max="5638" width="19.42578125" style="1" customWidth="1"/>
    <col min="5639" max="5639" width="27" style="1" customWidth="1"/>
    <col min="5640" max="5640" width="22.7109375" style="1" customWidth="1"/>
    <col min="5641" max="5888" width="9.140625" style="1"/>
    <col min="5889" max="5889" width="17" style="1" customWidth="1"/>
    <col min="5890" max="5890" width="71.5703125" style="1" customWidth="1"/>
    <col min="5891" max="5891" width="0" style="1" hidden="1" customWidth="1"/>
    <col min="5892" max="5892" width="19.140625" style="1" customWidth="1"/>
    <col min="5893" max="5893" width="22.7109375" style="1" customWidth="1"/>
    <col min="5894" max="5894" width="19.42578125" style="1" customWidth="1"/>
    <col min="5895" max="5895" width="27" style="1" customWidth="1"/>
    <col min="5896" max="5896" width="22.7109375" style="1" customWidth="1"/>
    <col min="5897" max="6144" width="9.140625" style="1"/>
    <col min="6145" max="6145" width="17" style="1" customWidth="1"/>
    <col min="6146" max="6146" width="71.5703125" style="1" customWidth="1"/>
    <col min="6147" max="6147" width="0" style="1" hidden="1" customWidth="1"/>
    <col min="6148" max="6148" width="19.140625" style="1" customWidth="1"/>
    <col min="6149" max="6149" width="22.7109375" style="1" customWidth="1"/>
    <col min="6150" max="6150" width="19.42578125" style="1" customWidth="1"/>
    <col min="6151" max="6151" width="27" style="1" customWidth="1"/>
    <col min="6152" max="6152" width="22.7109375" style="1" customWidth="1"/>
    <col min="6153" max="6400" width="9.140625" style="1"/>
    <col min="6401" max="6401" width="17" style="1" customWidth="1"/>
    <col min="6402" max="6402" width="71.5703125" style="1" customWidth="1"/>
    <col min="6403" max="6403" width="0" style="1" hidden="1" customWidth="1"/>
    <col min="6404" max="6404" width="19.140625" style="1" customWidth="1"/>
    <col min="6405" max="6405" width="22.7109375" style="1" customWidth="1"/>
    <col min="6406" max="6406" width="19.42578125" style="1" customWidth="1"/>
    <col min="6407" max="6407" width="27" style="1" customWidth="1"/>
    <col min="6408" max="6408" width="22.7109375" style="1" customWidth="1"/>
    <col min="6409" max="6656" width="9.140625" style="1"/>
    <col min="6657" max="6657" width="17" style="1" customWidth="1"/>
    <col min="6658" max="6658" width="71.5703125" style="1" customWidth="1"/>
    <col min="6659" max="6659" width="0" style="1" hidden="1" customWidth="1"/>
    <col min="6660" max="6660" width="19.140625" style="1" customWidth="1"/>
    <col min="6661" max="6661" width="22.7109375" style="1" customWidth="1"/>
    <col min="6662" max="6662" width="19.42578125" style="1" customWidth="1"/>
    <col min="6663" max="6663" width="27" style="1" customWidth="1"/>
    <col min="6664" max="6664" width="22.7109375" style="1" customWidth="1"/>
    <col min="6665" max="6912" width="9.140625" style="1"/>
    <col min="6913" max="6913" width="17" style="1" customWidth="1"/>
    <col min="6914" max="6914" width="71.5703125" style="1" customWidth="1"/>
    <col min="6915" max="6915" width="0" style="1" hidden="1" customWidth="1"/>
    <col min="6916" max="6916" width="19.140625" style="1" customWidth="1"/>
    <col min="6917" max="6917" width="22.7109375" style="1" customWidth="1"/>
    <col min="6918" max="6918" width="19.42578125" style="1" customWidth="1"/>
    <col min="6919" max="6919" width="27" style="1" customWidth="1"/>
    <col min="6920" max="6920" width="22.7109375" style="1" customWidth="1"/>
    <col min="6921" max="7168" width="9.140625" style="1"/>
    <col min="7169" max="7169" width="17" style="1" customWidth="1"/>
    <col min="7170" max="7170" width="71.5703125" style="1" customWidth="1"/>
    <col min="7171" max="7171" width="0" style="1" hidden="1" customWidth="1"/>
    <col min="7172" max="7172" width="19.140625" style="1" customWidth="1"/>
    <col min="7173" max="7173" width="22.7109375" style="1" customWidth="1"/>
    <col min="7174" max="7174" width="19.42578125" style="1" customWidth="1"/>
    <col min="7175" max="7175" width="27" style="1" customWidth="1"/>
    <col min="7176" max="7176" width="22.7109375" style="1" customWidth="1"/>
    <col min="7177" max="7424" width="9.140625" style="1"/>
    <col min="7425" max="7425" width="17" style="1" customWidth="1"/>
    <col min="7426" max="7426" width="71.5703125" style="1" customWidth="1"/>
    <col min="7427" max="7427" width="0" style="1" hidden="1" customWidth="1"/>
    <col min="7428" max="7428" width="19.140625" style="1" customWidth="1"/>
    <col min="7429" max="7429" width="22.7109375" style="1" customWidth="1"/>
    <col min="7430" max="7430" width="19.42578125" style="1" customWidth="1"/>
    <col min="7431" max="7431" width="27" style="1" customWidth="1"/>
    <col min="7432" max="7432" width="22.7109375" style="1" customWidth="1"/>
    <col min="7433" max="7680" width="9.140625" style="1"/>
    <col min="7681" max="7681" width="17" style="1" customWidth="1"/>
    <col min="7682" max="7682" width="71.5703125" style="1" customWidth="1"/>
    <col min="7683" max="7683" width="0" style="1" hidden="1" customWidth="1"/>
    <col min="7684" max="7684" width="19.140625" style="1" customWidth="1"/>
    <col min="7685" max="7685" width="22.7109375" style="1" customWidth="1"/>
    <col min="7686" max="7686" width="19.42578125" style="1" customWidth="1"/>
    <col min="7687" max="7687" width="27" style="1" customWidth="1"/>
    <col min="7688" max="7688" width="22.7109375" style="1" customWidth="1"/>
    <col min="7689" max="7936" width="9.140625" style="1"/>
    <col min="7937" max="7937" width="17" style="1" customWidth="1"/>
    <col min="7938" max="7938" width="71.5703125" style="1" customWidth="1"/>
    <col min="7939" max="7939" width="0" style="1" hidden="1" customWidth="1"/>
    <col min="7940" max="7940" width="19.140625" style="1" customWidth="1"/>
    <col min="7941" max="7941" width="22.7109375" style="1" customWidth="1"/>
    <col min="7942" max="7942" width="19.42578125" style="1" customWidth="1"/>
    <col min="7943" max="7943" width="27" style="1" customWidth="1"/>
    <col min="7944" max="7944" width="22.7109375" style="1" customWidth="1"/>
    <col min="7945" max="8192" width="9.140625" style="1"/>
    <col min="8193" max="8193" width="17" style="1" customWidth="1"/>
    <col min="8194" max="8194" width="71.5703125" style="1" customWidth="1"/>
    <col min="8195" max="8195" width="0" style="1" hidden="1" customWidth="1"/>
    <col min="8196" max="8196" width="19.140625" style="1" customWidth="1"/>
    <col min="8197" max="8197" width="22.7109375" style="1" customWidth="1"/>
    <col min="8198" max="8198" width="19.42578125" style="1" customWidth="1"/>
    <col min="8199" max="8199" width="27" style="1" customWidth="1"/>
    <col min="8200" max="8200" width="22.7109375" style="1" customWidth="1"/>
    <col min="8201" max="8448" width="9.140625" style="1"/>
    <col min="8449" max="8449" width="17" style="1" customWidth="1"/>
    <col min="8450" max="8450" width="71.5703125" style="1" customWidth="1"/>
    <col min="8451" max="8451" width="0" style="1" hidden="1" customWidth="1"/>
    <col min="8452" max="8452" width="19.140625" style="1" customWidth="1"/>
    <col min="8453" max="8453" width="22.7109375" style="1" customWidth="1"/>
    <col min="8454" max="8454" width="19.42578125" style="1" customWidth="1"/>
    <col min="8455" max="8455" width="27" style="1" customWidth="1"/>
    <col min="8456" max="8456" width="22.7109375" style="1" customWidth="1"/>
    <col min="8457" max="8704" width="9.140625" style="1"/>
    <col min="8705" max="8705" width="17" style="1" customWidth="1"/>
    <col min="8706" max="8706" width="71.5703125" style="1" customWidth="1"/>
    <col min="8707" max="8707" width="0" style="1" hidden="1" customWidth="1"/>
    <col min="8708" max="8708" width="19.140625" style="1" customWidth="1"/>
    <col min="8709" max="8709" width="22.7109375" style="1" customWidth="1"/>
    <col min="8710" max="8710" width="19.42578125" style="1" customWidth="1"/>
    <col min="8711" max="8711" width="27" style="1" customWidth="1"/>
    <col min="8712" max="8712" width="22.7109375" style="1" customWidth="1"/>
    <col min="8713" max="8960" width="9.140625" style="1"/>
    <col min="8961" max="8961" width="17" style="1" customWidth="1"/>
    <col min="8962" max="8962" width="71.5703125" style="1" customWidth="1"/>
    <col min="8963" max="8963" width="0" style="1" hidden="1" customWidth="1"/>
    <col min="8964" max="8964" width="19.140625" style="1" customWidth="1"/>
    <col min="8965" max="8965" width="22.7109375" style="1" customWidth="1"/>
    <col min="8966" max="8966" width="19.42578125" style="1" customWidth="1"/>
    <col min="8967" max="8967" width="27" style="1" customWidth="1"/>
    <col min="8968" max="8968" width="22.7109375" style="1" customWidth="1"/>
    <col min="8969" max="9216" width="9.140625" style="1"/>
    <col min="9217" max="9217" width="17" style="1" customWidth="1"/>
    <col min="9218" max="9218" width="71.5703125" style="1" customWidth="1"/>
    <col min="9219" max="9219" width="0" style="1" hidden="1" customWidth="1"/>
    <col min="9220" max="9220" width="19.140625" style="1" customWidth="1"/>
    <col min="9221" max="9221" width="22.7109375" style="1" customWidth="1"/>
    <col min="9222" max="9222" width="19.42578125" style="1" customWidth="1"/>
    <col min="9223" max="9223" width="27" style="1" customWidth="1"/>
    <col min="9224" max="9224" width="22.7109375" style="1" customWidth="1"/>
    <col min="9225" max="9472" width="9.140625" style="1"/>
    <col min="9473" max="9473" width="17" style="1" customWidth="1"/>
    <col min="9474" max="9474" width="71.5703125" style="1" customWidth="1"/>
    <col min="9475" max="9475" width="0" style="1" hidden="1" customWidth="1"/>
    <col min="9476" max="9476" width="19.140625" style="1" customWidth="1"/>
    <col min="9477" max="9477" width="22.7109375" style="1" customWidth="1"/>
    <col min="9478" max="9478" width="19.42578125" style="1" customWidth="1"/>
    <col min="9479" max="9479" width="27" style="1" customWidth="1"/>
    <col min="9480" max="9480" width="22.7109375" style="1" customWidth="1"/>
    <col min="9481" max="9728" width="9.140625" style="1"/>
    <col min="9729" max="9729" width="17" style="1" customWidth="1"/>
    <col min="9730" max="9730" width="71.5703125" style="1" customWidth="1"/>
    <col min="9731" max="9731" width="0" style="1" hidden="1" customWidth="1"/>
    <col min="9732" max="9732" width="19.140625" style="1" customWidth="1"/>
    <col min="9733" max="9733" width="22.7109375" style="1" customWidth="1"/>
    <col min="9734" max="9734" width="19.42578125" style="1" customWidth="1"/>
    <col min="9735" max="9735" width="27" style="1" customWidth="1"/>
    <col min="9736" max="9736" width="22.7109375" style="1" customWidth="1"/>
    <col min="9737" max="9984" width="9.140625" style="1"/>
    <col min="9985" max="9985" width="17" style="1" customWidth="1"/>
    <col min="9986" max="9986" width="71.5703125" style="1" customWidth="1"/>
    <col min="9987" max="9987" width="0" style="1" hidden="1" customWidth="1"/>
    <col min="9988" max="9988" width="19.140625" style="1" customWidth="1"/>
    <col min="9989" max="9989" width="22.7109375" style="1" customWidth="1"/>
    <col min="9990" max="9990" width="19.42578125" style="1" customWidth="1"/>
    <col min="9991" max="9991" width="27" style="1" customWidth="1"/>
    <col min="9992" max="9992" width="22.7109375" style="1" customWidth="1"/>
    <col min="9993" max="10240" width="9.140625" style="1"/>
    <col min="10241" max="10241" width="17" style="1" customWidth="1"/>
    <col min="10242" max="10242" width="71.5703125" style="1" customWidth="1"/>
    <col min="10243" max="10243" width="0" style="1" hidden="1" customWidth="1"/>
    <col min="10244" max="10244" width="19.140625" style="1" customWidth="1"/>
    <col min="10245" max="10245" width="22.7109375" style="1" customWidth="1"/>
    <col min="10246" max="10246" width="19.42578125" style="1" customWidth="1"/>
    <col min="10247" max="10247" width="27" style="1" customWidth="1"/>
    <col min="10248" max="10248" width="22.7109375" style="1" customWidth="1"/>
    <col min="10249" max="10496" width="9.140625" style="1"/>
    <col min="10497" max="10497" width="17" style="1" customWidth="1"/>
    <col min="10498" max="10498" width="71.5703125" style="1" customWidth="1"/>
    <col min="10499" max="10499" width="0" style="1" hidden="1" customWidth="1"/>
    <col min="10500" max="10500" width="19.140625" style="1" customWidth="1"/>
    <col min="10501" max="10501" width="22.7109375" style="1" customWidth="1"/>
    <col min="10502" max="10502" width="19.42578125" style="1" customWidth="1"/>
    <col min="10503" max="10503" width="27" style="1" customWidth="1"/>
    <col min="10504" max="10504" width="22.7109375" style="1" customWidth="1"/>
    <col min="10505" max="10752" width="9.140625" style="1"/>
    <col min="10753" max="10753" width="17" style="1" customWidth="1"/>
    <col min="10754" max="10754" width="71.5703125" style="1" customWidth="1"/>
    <col min="10755" max="10755" width="0" style="1" hidden="1" customWidth="1"/>
    <col min="10756" max="10756" width="19.140625" style="1" customWidth="1"/>
    <col min="10757" max="10757" width="22.7109375" style="1" customWidth="1"/>
    <col min="10758" max="10758" width="19.42578125" style="1" customWidth="1"/>
    <col min="10759" max="10759" width="27" style="1" customWidth="1"/>
    <col min="10760" max="10760" width="22.7109375" style="1" customWidth="1"/>
    <col min="10761" max="11008" width="9.140625" style="1"/>
    <col min="11009" max="11009" width="17" style="1" customWidth="1"/>
    <col min="11010" max="11010" width="71.5703125" style="1" customWidth="1"/>
    <col min="11011" max="11011" width="0" style="1" hidden="1" customWidth="1"/>
    <col min="11012" max="11012" width="19.140625" style="1" customWidth="1"/>
    <col min="11013" max="11013" width="22.7109375" style="1" customWidth="1"/>
    <col min="11014" max="11014" width="19.42578125" style="1" customWidth="1"/>
    <col min="11015" max="11015" width="27" style="1" customWidth="1"/>
    <col min="11016" max="11016" width="22.7109375" style="1" customWidth="1"/>
    <col min="11017" max="11264" width="9.140625" style="1"/>
    <col min="11265" max="11265" width="17" style="1" customWidth="1"/>
    <col min="11266" max="11266" width="71.5703125" style="1" customWidth="1"/>
    <col min="11267" max="11267" width="0" style="1" hidden="1" customWidth="1"/>
    <col min="11268" max="11268" width="19.140625" style="1" customWidth="1"/>
    <col min="11269" max="11269" width="22.7109375" style="1" customWidth="1"/>
    <col min="11270" max="11270" width="19.42578125" style="1" customWidth="1"/>
    <col min="11271" max="11271" width="27" style="1" customWidth="1"/>
    <col min="11272" max="11272" width="22.7109375" style="1" customWidth="1"/>
    <col min="11273" max="11520" width="9.140625" style="1"/>
    <col min="11521" max="11521" width="17" style="1" customWidth="1"/>
    <col min="11522" max="11522" width="71.5703125" style="1" customWidth="1"/>
    <col min="11523" max="11523" width="0" style="1" hidden="1" customWidth="1"/>
    <col min="11524" max="11524" width="19.140625" style="1" customWidth="1"/>
    <col min="11525" max="11525" width="22.7109375" style="1" customWidth="1"/>
    <col min="11526" max="11526" width="19.42578125" style="1" customWidth="1"/>
    <col min="11527" max="11527" width="27" style="1" customWidth="1"/>
    <col min="11528" max="11528" width="22.7109375" style="1" customWidth="1"/>
    <col min="11529" max="11776" width="9.140625" style="1"/>
    <col min="11777" max="11777" width="17" style="1" customWidth="1"/>
    <col min="11778" max="11778" width="71.5703125" style="1" customWidth="1"/>
    <col min="11779" max="11779" width="0" style="1" hidden="1" customWidth="1"/>
    <col min="11780" max="11780" width="19.140625" style="1" customWidth="1"/>
    <col min="11781" max="11781" width="22.7109375" style="1" customWidth="1"/>
    <col min="11782" max="11782" width="19.42578125" style="1" customWidth="1"/>
    <col min="11783" max="11783" width="27" style="1" customWidth="1"/>
    <col min="11784" max="11784" width="22.7109375" style="1" customWidth="1"/>
    <col min="11785" max="12032" width="9.140625" style="1"/>
    <col min="12033" max="12033" width="17" style="1" customWidth="1"/>
    <col min="12034" max="12034" width="71.5703125" style="1" customWidth="1"/>
    <col min="12035" max="12035" width="0" style="1" hidden="1" customWidth="1"/>
    <col min="12036" max="12036" width="19.140625" style="1" customWidth="1"/>
    <col min="12037" max="12037" width="22.7109375" style="1" customWidth="1"/>
    <col min="12038" max="12038" width="19.42578125" style="1" customWidth="1"/>
    <col min="12039" max="12039" width="27" style="1" customWidth="1"/>
    <col min="12040" max="12040" width="22.7109375" style="1" customWidth="1"/>
    <col min="12041" max="12288" width="9.140625" style="1"/>
    <col min="12289" max="12289" width="17" style="1" customWidth="1"/>
    <col min="12290" max="12290" width="71.5703125" style="1" customWidth="1"/>
    <col min="12291" max="12291" width="0" style="1" hidden="1" customWidth="1"/>
    <col min="12292" max="12292" width="19.140625" style="1" customWidth="1"/>
    <col min="12293" max="12293" width="22.7109375" style="1" customWidth="1"/>
    <col min="12294" max="12294" width="19.42578125" style="1" customWidth="1"/>
    <col min="12295" max="12295" width="27" style="1" customWidth="1"/>
    <col min="12296" max="12296" width="22.7109375" style="1" customWidth="1"/>
    <col min="12297" max="12544" width="9.140625" style="1"/>
    <col min="12545" max="12545" width="17" style="1" customWidth="1"/>
    <col min="12546" max="12546" width="71.5703125" style="1" customWidth="1"/>
    <col min="12547" max="12547" width="0" style="1" hidden="1" customWidth="1"/>
    <col min="12548" max="12548" width="19.140625" style="1" customWidth="1"/>
    <col min="12549" max="12549" width="22.7109375" style="1" customWidth="1"/>
    <col min="12550" max="12550" width="19.42578125" style="1" customWidth="1"/>
    <col min="12551" max="12551" width="27" style="1" customWidth="1"/>
    <col min="12552" max="12552" width="22.7109375" style="1" customWidth="1"/>
    <col min="12553" max="12800" width="9.140625" style="1"/>
    <col min="12801" max="12801" width="17" style="1" customWidth="1"/>
    <col min="12802" max="12802" width="71.5703125" style="1" customWidth="1"/>
    <col min="12803" max="12803" width="0" style="1" hidden="1" customWidth="1"/>
    <col min="12804" max="12804" width="19.140625" style="1" customWidth="1"/>
    <col min="12805" max="12805" width="22.7109375" style="1" customWidth="1"/>
    <col min="12806" max="12806" width="19.42578125" style="1" customWidth="1"/>
    <col min="12807" max="12807" width="27" style="1" customWidth="1"/>
    <col min="12808" max="12808" width="22.7109375" style="1" customWidth="1"/>
    <col min="12809" max="13056" width="9.140625" style="1"/>
    <col min="13057" max="13057" width="17" style="1" customWidth="1"/>
    <col min="13058" max="13058" width="71.5703125" style="1" customWidth="1"/>
    <col min="13059" max="13059" width="0" style="1" hidden="1" customWidth="1"/>
    <col min="13060" max="13060" width="19.140625" style="1" customWidth="1"/>
    <col min="13061" max="13061" width="22.7109375" style="1" customWidth="1"/>
    <col min="13062" max="13062" width="19.42578125" style="1" customWidth="1"/>
    <col min="13063" max="13063" width="27" style="1" customWidth="1"/>
    <col min="13064" max="13064" width="22.7109375" style="1" customWidth="1"/>
    <col min="13065" max="13312" width="9.140625" style="1"/>
    <col min="13313" max="13313" width="17" style="1" customWidth="1"/>
    <col min="13314" max="13314" width="71.5703125" style="1" customWidth="1"/>
    <col min="13315" max="13315" width="0" style="1" hidden="1" customWidth="1"/>
    <col min="13316" max="13316" width="19.140625" style="1" customWidth="1"/>
    <col min="13317" max="13317" width="22.7109375" style="1" customWidth="1"/>
    <col min="13318" max="13318" width="19.42578125" style="1" customWidth="1"/>
    <col min="13319" max="13319" width="27" style="1" customWidth="1"/>
    <col min="13320" max="13320" width="22.7109375" style="1" customWidth="1"/>
    <col min="13321" max="13568" width="9.140625" style="1"/>
    <col min="13569" max="13569" width="17" style="1" customWidth="1"/>
    <col min="13570" max="13570" width="71.5703125" style="1" customWidth="1"/>
    <col min="13571" max="13571" width="0" style="1" hidden="1" customWidth="1"/>
    <col min="13572" max="13572" width="19.140625" style="1" customWidth="1"/>
    <col min="13573" max="13573" width="22.7109375" style="1" customWidth="1"/>
    <col min="13574" max="13574" width="19.42578125" style="1" customWidth="1"/>
    <col min="13575" max="13575" width="27" style="1" customWidth="1"/>
    <col min="13576" max="13576" width="22.7109375" style="1" customWidth="1"/>
    <col min="13577" max="13824" width="9.140625" style="1"/>
    <col min="13825" max="13825" width="17" style="1" customWidth="1"/>
    <col min="13826" max="13826" width="71.5703125" style="1" customWidth="1"/>
    <col min="13827" max="13827" width="0" style="1" hidden="1" customWidth="1"/>
    <col min="13828" max="13828" width="19.140625" style="1" customWidth="1"/>
    <col min="13829" max="13829" width="22.7109375" style="1" customWidth="1"/>
    <col min="13830" max="13830" width="19.42578125" style="1" customWidth="1"/>
    <col min="13831" max="13831" width="27" style="1" customWidth="1"/>
    <col min="13832" max="13832" width="22.7109375" style="1" customWidth="1"/>
    <col min="13833" max="14080" width="9.140625" style="1"/>
    <col min="14081" max="14081" width="17" style="1" customWidth="1"/>
    <col min="14082" max="14082" width="71.5703125" style="1" customWidth="1"/>
    <col min="14083" max="14083" width="0" style="1" hidden="1" customWidth="1"/>
    <col min="14084" max="14084" width="19.140625" style="1" customWidth="1"/>
    <col min="14085" max="14085" width="22.7109375" style="1" customWidth="1"/>
    <col min="14086" max="14086" width="19.42578125" style="1" customWidth="1"/>
    <col min="14087" max="14087" width="27" style="1" customWidth="1"/>
    <col min="14088" max="14088" width="22.7109375" style="1" customWidth="1"/>
    <col min="14089" max="14336" width="9.140625" style="1"/>
    <col min="14337" max="14337" width="17" style="1" customWidth="1"/>
    <col min="14338" max="14338" width="71.5703125" style="1" customWidth="1"/>
    <col min="14339" max="14339" width="0" style="1" hidden="1" customWidth="1"/>
    <col min="14340" max="14340" width="19.140625" style="1" customWidth="1"/>
    <col min="14341" max="14341" width="22.7109375" style="1" customWidth="1"/>
    <col min="14342" max="14342" width="19.42578125" style="1" customWidth="1"/>
    <col min="14343" max="14343" width="27" style="1" customWidth="1"/>
    <col min="14344" max="14344" width="22.7109375" style="1" customWidth="1"/>
    <col min="14345" max="14592" width="9.140625" style="1"/>
    <col min="14593" max="14593" width="17" style="1" customWidth="1"/>
    <col min="14594" max="14594" width="71.5703125" style="1" customWidth="1"/>
    <col min="14595" max="14595" width="0" style="1" hidden="1" customWidth="1"/>
    <col min="14596" max="14596" width="19.140625" style="1" customWidth="1"/>
    <col min="14597" max="14597" width="22.7109375" style="1" customWidth="1"/>
    <col min="14598" max="14598" width="19.42578125" style="1" customWidth="1"/>
    <col min="14599" max="14599" width="27" style="1" customWidth="1"/>
    <col min="14600" max="14600" width="22.7109375" style="1" customWidth="1"/>
    <col min="14601" max="14848" width="9.140625" style="1"/>
    <col min="14849" max="14849" width="17" style="1" customWidth="1"/>
    <col min="14850" max="14850" width="71.5703125" style="1" customWidth="1"/>
    <col min="14851" max="14851" width="0" style="1" hidden="1" customWidth="1"/>
    <col min="14852" max="14852" width="19.140625" style="1" customWidth="1"/>
    <col min="14853" max="14853" width="22.7109375" style="1" customWidth="1"/>
    <col min="14854" max="14854" width="19.42578125" style="1" customWidth="1"/>
    <col min="14855" max="14855" width="27" style="1" customWidth="1"/>
    <col min="14856" max="14856" width="22.7109375" style="1" customWidth="1"/>
    <col min="14857" max="15104" width="9.140625" style="1"/>
    <col min="15105" max="15105" width="17" style="1" customWidth="1"/>
    <col min="15106" max="15106" width="71.5703125" style="1" customWidth="1"/>
    <col min="15107" max="15107" width="0" style="1" hidden="1" customWidth="1"/>
    <col min="15108" max="15108" width="19.140625" style="1" customWidth="1"/>
    <col min="15109" max="15109" width="22.7109375" style="1" customWidth="1"/>
    <col min="15110" max="15110" width="19.42578125" style="1" customWidth="1"/>
    <col min="15111" max="15111" width="27" style="1" customWidth="1"/>
    <col min="15112" max="15112" width="22.7109375" style="1" customWidth="1"/>
    <col min="15113" max="15360" width="9.140625" style="1"/>
    <col min="15361" max="15361" width="17" style="1" customWidth="1"/>
    <col min="15362" max="15362" width="71.5703125" style="1" customWidth="1"/>
    <col min="15363" max="15363" width="0" style="1" hidden="1" customWidth="1"/>
    <col min="15364" max="15364" width="19.140625" style="1" customWidth="1"/>
    <col min="15365" max="15365" width="22.7109375" style="1" customWidth="1"/>
    <col min="15366" max="15366" width="19.42578125" style="1" customWidth="1"/>
    <col min="15367" max="15367" width="27" style="1" customWidth="1"/>
    <col min="15368" max="15368" width="22.7109375" style="1" customWidth="1"/>
    <col min="15369" max="15616" width="9.140625" style="1"/>
    <col min="15617" max="15617" width="17" style="1" customWidth="1"/>
    <col min="15618" max="15618" width="71.5703125" style="1" customWidth="1"/>
    <col min="15619" max="15619" width="0" style="1" hidden="1" customWidth="1"/>
    <col min="15620" max="15620" width="19.140625" style="1" customWidth="1"/>
    <col min="15621" max="15621" width="22.7109375" style="1" customWidth="1"/>
    <col min="15622" max="15622" width="19.42578125" style="1" customWidth="1"/>
    <col min="15623" max="15623" width="27" style="1" customWidth="1"/>
    <col min="15624" max="15624" width="22.7109375" style="1" customWidth="1"/>
    <col min="15625" max="15872" width="9.140625" style="1"/>
    <col min="15873" max="15873" width="17" style="1" customWidth="1"/>
    <col min="15874" max="15874" width="71.5703125" style="1" customWidth="1"/>
    <col min="15875" max="15875" width="0" style="1" hidden="1" customWidth="1"/>
    <col min="15876" max="15876" width="19.140625" style="1" customWidth="1"/>
    <col min="15877" max="15877" width="22.7109375" style="1" customWidth="1"/>
    <col min="15878" max="15878" width="19.42578125" style="1" customWidth="1"/>
    <col min="15879" max="15879" width="27" style="1" customWidth="1"/>
    <col min="15880" max="15880" width="22.7109375" style="1" customWidth="1"/>
    <col min="15881" max="16128" width="9.140625" style="1"/>
    <col min="16129" max="16129" width="17" style="1" customWidth="1"/>
    <col min="16130" max="16130" width="71.5703125" style="1" customWidth="1"/>
    <col min="16131" max="16131" width="0" style="1" hidden="1" customWidth="1"/>
    <col min="16132" max="16132" width="19.140625" style="1" customWidth="1"/>
    <col min="16133" max="16133" width="22.7109375" style="1" customWidth="1"/>
    <col min="16134" max="16134" width="19.42578125" style="1" customWidth="1"/>
    <col min="16135" max="16135" width="27" style="1" customWidth="1"/>
    <col min="16136" max="16136" width="22.7109375" style="1" customWidth="1"/>
    <col min="16137" max="16384" width="9.140625" style="1"/>
  </cols>
  <sheetData>
    <row r="1" spans="1:12" x14ac:dyDescent="0.3">
      <c r="A1" s="186" t="s">
        <v>0</v>
      </c>
      <c r="B1" s="186"/>
      <c r="C1" s="186"/>
      <c r="D1" s="186"/>
      <c r="G1" s="73"/>
      <c r="H1" s="73">
        <v>950</v>
      </c>
    </row>
    <row r="2" spans="1:12" x14ac:dyDescent="0.3">
      <c r="A2" s="2"/>
      <c r="B2" s="2"/>
      <c r="C2" s="2"/>
      <c r="D2" s="2"/>
      <c r="G2" s="73"/>
      <c r="H2" s="93">
        <v>1687</v>
      </c>
    </row>
    <row r="3" spans="1:12" ht="18.75" customHeight="1" x14ac:dyDescent="0.3">
      <c r="B3" s="3" t="s">
        <v>1</v>
      </c>
      <c r="C3" s="4"/>
      <c r="D3" s="4"/>
      <c r="G3" s="94" t="s">
        <v>16</v>
      </c>
      <c r="H3" s="93">
        <v>3865</v>
      </c>
    </row>
    <row r="4" spans="1:12" ht="18" customHeight="1" x14ac:dyDescent="0.3">
      <c r="A4" s="5"/>
      <c r="B4" s="6" t="s">
        <v>65</v>
      </c>
      <c r="C4" s="5"/>
      <c r="D4" s="5"/>
      <c r="G4" s="94" t="s">
        <v>18</v>
      </c>
      <c r="H4" s="93">
        <v>25</v>
      </c>
    </row>
    <row r="5" spans="1:12" ht="23.25" customHeight="1" x14ac:dyDescent="0.3">
      <c r="A5" s="7"/>
      <c r="B5" s="2" t="s">
        <v>3</v>
      </c>
      <c r="C5" s="7"/>
      <c r="D5" s="7"/>
      <c r="G5" s="73"/>
      <c r="H5" s="93"/>
    </row>
    <row r="6" spans="1:12" s="12" customFormat="1" ht="15.75" x14ac:dyDescent="0.25">
      <c r="A6" s="26"/>
      <c r="B6" s="27"/>
      <c r="C6" s="28"/>
      <c r="D6" s="28"/>
      <c r="E6" s="73"/>
      <c r="F6" s="73"/>
      <c r="G6" s="94" t="s">
        <v>21</v>
      </c>
      <c r="H6" s="95">
        <f>H4/H2</f>
        <v>1.4819205690574985E-2</v>
      </c>
      <c r="I6" s="73"/>
      <c r="J6" s="72"/>
      <c r="K6" s="72"/>
      <c r="L6" s="72"/>
    </row>
    <row r="7" spans="1:12" s="12" customFormat="1" ht="136.5" customHeight="1" x14ac:dyDescent="0.25">
      <c r="A7" s="29" t="s">
        <v>12</v>
      </c>
      <c r="B7" s="30" t="s">
        <v>5</v>
      </c>
      <c r="C7" s="30" t="s">
        <v>6</v>
      </c>
      <c r="D7" s="30" t="s">
        <v>13</v>
      </c>
      <c r="E7" s="73"/>
      <c r="F7" s="73"/>
      <c r="G7" s="73"/>
      <c r="H7" s="73"/>
      <c r="I7" s="73"/>
      <c r="J7" s="72"/>
      <c r="K7" s="72"/>
      <c r="L7" s="72"/>
    </row>
    <row r="8" spans="1:12" s="12" customFormat="1" ht="23.25" customHeight="1" x14ac:dyDescent="0.25">
      <c r="A8" s="31"/>
      <c r="B8" s="32" t="s">
        <v>14</v>
      </c>
      <c r="C8" s="32"/>
      <c r="D8" s="33"/>
      <c r="E8" s="73"/>
      <c r="F8" s="73"/>
      <c r="G8" s="73"/>
      <c r="H8" s="73">
        <f>5/100</f>
        <v>0.05</v>
      </c>
      <c r="I8" s="73"/>
      <c r="J8" s="72"/>
      <c r="K8" s="72"/>
      <c r="L8" s="72"/>
    </row>
    <row r="9" spans="1:12" s="12" customFormat="1" ht="15.75" x14ac:dyDescent="0.25">
      <c r="A9" s="34"/>
      <c r="B9" s="35" t="s">
        <v>66</v>
      </c>
      <c r="C9" s="36" t="e">
        <f>#REF!</f>
        <v>#REF!</v>
      </c>
      <c r="D9" s="37">
        <f>SUM(D10:D10)</f>
        <v>20</v>
      </c>
      <c r="E9" s="96"/>
      <c r="F9" s="73"/>
      <c r="G9" s="73"/>
      <c r="H9" s="73"/>
      <c r="I9" s="73"/>
      <c r="J9" s="72"/>
      <c r="K9" s="72"/>
      <c r="L9" s="72"/>
    </row>
    <row r="10" spans="1:12" s="12" customFormat="1" ht="15.75" x14ac:dyDescent="0.25">
      <c r="A10" s="38">
        <v>2312</v>
      </c>
      <c r="B10" s="39" t="s">
        <v>67</v>
      </c>
      <c r="C10" s="40"/>
      <c r="D10" s="41">
        <f>10*2</f>
        <v>20</v>
      </c>
      <c r="E10" s="97" t="s">
        <v>68</v>
      </c>
      <c r="F10" s="73"/>
      <c r="G10" s="73"/>
      <c r="H10" s="73"/>
      <c r="I10" s="73"/>
      <c r="J10" s="72"/>
      <c r="K10" s="72"/>
      <c r="L10" s="72"/>
    </row>
    <row r="11" spans="1:12" s="12" customFormat="1" ht="15.75" x14ac:dyDescent="0.25">
      <c r="A11" s="52"/>
      <c r="B11" s="48" t="s">
        <v>69</v>
      </c>
      <c r="C11" s="53"/>
      <c r="D11" s="51">
        <f>D9</f>
        <v>20</v>
      </c>
      <c r="E11" s="97"/>
      <c r="F11" s="73"/>
      <c r="G11" s="73"/>
      <c r="H11" s="73"/>
      <c r="I11" s="73"/>
      <c r="J11" s="72"/>
      <c r="K11" s="72"/>
      <c r="L11" s="72"/>
    </row>
    <row r="12" spans="1:12" s="12" customFormat="1" ht="23.25" customHeight="1" x14ac:dyDescent="0.25">
      <c r="A12" s="31"/>
      <c r="B12" s="32" t="s">
        <v>70</v>
      </c>
      <c r="C12" s="32"/>
      <c r="D12" s="33"/>
      <c r="E12" s="73"/>
      <c r="F12" s="73"/>
      <c r="G12" s="73"/>
      <c r="H12" s="73"/>
      <c r="I12" s="73"/>
      <c r="J12" s="72"/>
      <c r="K12" s="72"/>
      <c r="L12" s="72"/>
    </row>
    <row r="13" spans="1:12" s="12" customFormat="1" ht="23.25" customHeight="1" x14ac:dyDescent="0.25">
      <c r="A13" s="34">
        <v>1100</v>
      </c>
      <c r="B13" s="35" t="s">
        <v>15</v>
      </c>
      <c r="C13" s="32"/>
      <c r="D13" s="33">
        <f>D14+D15+D16</f>
        <v>1363.08</v>
      </c>
      <c r="E13" s="73"/>
      <c r="F13" s="73"/>
      <c r="G13" s="73"/>
      <c r="H13" s="73"/>
      <c r="I13" s="73"/>
      <c r="J13" s="72"/>
      <c r="K13" s="72"/>
      <c r="L13" s="72"/>
    </row>
    <row r="14" spans="1:12" s="12" customFormat="1" ht="17.25" customHeight="1" x14ac:dyDescent="0.25">
      <c r="A14" s="38">
        <v>1100</v>
      </c>
      <c r="B14" s="39" t="s">
        <v>71</v>
      </c>
      <c r="C14" s="32"/>
      <c r="D14" s="41">
        <f>462*12*3*0.03</f>
        <v>498.96</v>
      </c>
      <c r="E14" s="73"/>
      <c r="F14" s="73"/>
      <c r="G14" s="73"/>
      <c r="H14" s="73"/>
      <c r="I14" s="73"/>
      <c r="J14" s="72"/>
      <c r="K14" s="72"/>
      <c r="L14" s="72"/>
    </row>
    <row r="15" spans="1:12" s="12" customFormat="1" ht="17.25" customHeight="1" x14ac:dyDescent="0.25">
      <c r="A15" s="38">
        <v>1100</v>
      </c>
      <c r="B15" s="39" t="s">
        <v>72</v>
      </c>
      <c r="C15" s="32"/>
      <c r="D15" s="41">
        <f>(1244)*12*0.005</f>
        <v>74.64</v>
      </c>
      <c r="E15" s="73"/>
      <c r="F15" s="73"/>
      <c r="G15" s="73"/>
      <c r="H15" s="73"/>
      <c r="I15" s="73"/>
      <c r="J15" s="72"/>
      <c r="K15" s="72"/>
      <c r="L15" s="72"/>
    </row>
    <row r="16" spans="1:12" s="12" customFormat="1" ht="17.25" customHeight="1" x14ac:dyDescent="0.25">
      <c r="A16" s="38">
        <v>1100</v>
      </c>
      <c r="B16" s="39" t="s">
        <v>73</v>
      </c>
      <c r="C16" s="32"/>
      <c r="D16" s="41">
        <f>731*12*3*0.03</f>
        <v>789.48</v>
      </c>
      <c r="E16" s="73"/>
      <c r="F16" s="73"/>
      <c r="G16" s="73"/>
      <c r="H16" s="73"/>
      <c r="I16" s="73"/>
      <c r="J16" s="72"/>
      <c r="K16" s="72"/>
      <c r="L16" s="72"/>
    </row>
    <row r="17" spans="1:12" s="12" customFormat="1" ht="16.5" customHeight="1" x14ac:dyDescent="0.25">
      <c r="A17" s="34">
        <v>1200</v>
      </c>
      <c r="B17" s="35" t="s">
        <v>20</v>
      </c>
      <c r="C17" s="32"/>
      <c r="D17" s="42">
        <f>ROUND(D13*0.2409,0)</f>
        <v>328</v>
      </c>
      <c r="E17" s="73"/>
      <c r="F17" s="73"/>
      <c r="G17" s="73"/>
      <c r="H17" s="73"/>
      <c r="I17" s="73"/>
      <c r="J17" s="72"/>
      <c r="K17" s="72"/>
      <c r="L17" s="72"/>
    </row>
    <row r="18" spans="1:12" s="12" customFormat="1" ht="16.5" customHeight="1" x14ac:dyDescent="0.25">
      <c r="A18" s="34">
        <v>2200</v>
      </c>
      <c r="B18" s="43" t="s">
        <v>23</v>
      </c>
      <c r="C18" s="32"/>
      <c r="D18" s="33">
        <f>D19+D20+D21+D22</f>
        <v>621.25191467101354</v>
      </c>
      <c r="E18" s="73"/>
      <c r="F18" s="73"/>
      <c r="G18" s="73"/>
      <c r="H18" s="73"/>
      <c r="I18" s="73"/>
      <c r="J18" s="72"/>
      <c r="K18" s="72"/>
      <c r="L18" s="72"/>
    </row>
    <row r="19" spans="1:12" s="12" customFormat="1" ht="16.5" customHeight="1" x14ac:dyDescent="0.25">
      <c r="A19" s="44">
        <v>2210</v>
      </c>
      <c r="B19" s="44" t="s">
        <v>74</v>
      </c>
      <c r="C19" s="32"/>
      <c r="D19" s="86">
        <f>[2]Tame!C44*0.1</f>
        <v>183.19899999999998</v>
      </c>
      <c r="E19" s="73"/>
      <c r="F19" s="73"/>
      <c r="G19" s="73"/>
      <c r="H19" s="73"/>
      <c r="I19" s="73"/>
      <c r="J19" s="72"/>
      <c r="K19" s="72"/>
      <c r="L19" s="72"/>
    </row>
    <row r="20" spans="1:12" s="12" customFormat="1" ht="16.5" customHeight="1" x14ac:dyDescent="0.25">
      <c r="A20" s="44">
        <v>2220</v>
      </c>
      <c r="B20" s="45" t="s">
        <v>75</v>
      </c>
      <c r="C20" s="32"/>
      <c r="D20" s="86">
        <f>[2]Tame!C47*'2_Tame_galda_teniss'!H6-35</f>
        <v>236.71902786010668</v>
      </c>
      <c r="E20" s="73"/>
      <c r="F20" s="73"/>
      <c r="G20" s="73"/>
      <c r="H20" s="73"/>
      <c r="I20" s="73"/>
      <c r="J20" s="72"/>
      <c r="K20" s="72"/>
      <c r="L20" s="72"/>
    </row>
    <row r="21" spans="1:12" s="12" customFormat="1" ht="30" customHeight="1" x14ac:dyDescent="0.25">
      <c r="A21" s="44">
        <v>2230</v>
      </c>
      <c r="B21" s="45" t="s">
        <v>24</v>
      </c>
      <c r="C21" s="32"/>
      <c r="D21" s="86">
        <f>[2]Tame!C51*'2_Tame_galda_teniss'!H6</f>
        <v>22.861736810906933</v>
      </c>
      <c r="E21" s="73"/>
      <c r="F21" s="73"/>
      <c r="G21" s="73"/>
      <c r="H21" s="73"/>
      <c r="I21" s="73"/>
      <c r="J21" s="72"/>
      <c r="K21" s="72"/>
      <c r="L21" s="72"/>
    </row>
    <row r="22" spans="1:12" s="12" customFormat="1" ht="18" customHeight="1" x14ac:dyDescent="0.25">
      <c r="A22" s="46">
        <v>2240</v>
      </c>
      <c r="B22" s="46" t="s">
        <v>25</v>
      </c>
      <c r="C22" s="32"/>
      <c r="D22" s="86">
        <f>[2]Tame!C57*0.005</f>
        <v>178.47215</v>
      </c>
      <c r="E22" s="73"/>
      <c r="F22" s="73"/>
      <c r="G22" s="73"/>
      <c r="H22" s="73"/>
      <c r="I22" s="73"/>
      <c r="J22" s="72"/>
      <c r="K22" s="72"/>
      <c r="L22" s="72"/>
    </row>
    <row r="23" spans="1:12" s="12" customFormat="1" ht="15.75" customHeight="1" x14ac:dyDescent="0.25">
      <c r="A23" s="34">
        <v>2300</v>
      </c>
      <c r="B23" s="43" t="s">
        <v>33</v>
      </c>
      <c r="C23" s="32"/>
      <c r="D23" s="33">
        <f>D24+D25+D26+D27+D28+D29</f>
        <v>572.86766449318316</v>
      </c>
      <c r="E23" s="73"/>
      <c r="F23" s="73"/>
      <c r="G23" s="73"/>
      <c r="H23" s="73"/>
      <c r="I23" s="73"/>
      <c r="J23" s="72"/>
      <c r="K23" s="72"/>
      <c r="L23" s="72"/>
    </row>
    <row r="24" spans="1:12" s="12" customFormat="1" ht="15" customHeight="1" x14ac:dyDescent="0.25">
      <c r="A24" s="44">
        <v>2310</v>
      </c>
      <c r="B24" s="44" t="s">
        <v>34</v>
      </c>
      <c r="C24" s="32"/>
      <c r="D24" s="86">
        <f>[2]Tame!C68*'2_Tame_galda_teniss'!H6</f>
        <v>15.057498518079429</v>
      </c>
      <c r="E24" s="73"/>
      <c r="F24" s="73"/>
      <c r="G24" s="73"/>
      <c r="H24" s="73"/>
      <c r="I24" s="73"/>
      <c r="J24" s="72"/>
      <c r="K24" s="72"/>
      <c r="L24" s="72"/>
    </row>
    <row r="25" spans="1:12" s="12" customFormat="1" ht="33.75" customHeight="1" x14ac:dyDescent="0.25">
      <c r="A25" s="44">
        <v>2320</v>
      </c>
      <c r="B25" s="45" t="s">
        <v>76</v>
      </c>
      <c r="C25" s="32"/>
      <c r="D25" s="86">
        <f>[2]Tame!C70*'2_Tame_galda_teniss'!H6</f>
        <v>424.78689982216952</v>
      </c>
      <c r="E25" s="73"/>
      <c r="F25" s="73"/>
      <c r="G25" s="73"/>
      <c r="H25" s="73"/>
      <c r="I25" s="73"/>
      <c r="J25" s="72"/>
      <c r="K25" s="72"/>
      <c r="L25" s="72"/>
    </row>
    <row r="26" spans="1:12" s="12" customFormat="1" ht="23.25" customHeight="1" x14ac:dyDescent="0.25">
      <c r="A26" s="46">
        <v>2340</v>
      </c>
      <c r="B26" s="54" t="s">
        <v>36</v>
      </c>
      <c r="C26" s="32"/>
      <c r="D26" s="86">
        <f>[2]Tame!C73*H6</f>
        <v>0.72999407231772373</v>
      </c>
      <c r="E26" s="73"/>
      <c r="F26" s="73"/>
      <c r="G26" s="73"/>
      <c r="H26" s="73"/>
      <c r="I26" s="73"/>
      <c r="J26" s="72"/>
      <c r="K26" s="72"/>
      <c r="L26" s="72"/>
    </row>
    <row r="27" spans="1:12" s="12" customFormat="1" ht="15.75" x14ac:dyDescent="0.25">
      <c r="A27" s="44">
        <v>2350</v>
      </c>
      <c r="B27" s="44" t="s">
        <v>37</v>
      </c>
      <c r="C27" s="36" t="e">
        <f>#REF!</f>
        <v>#REF!</v>
      </c>
      <c r="D27" s="37">
        <f>[2]Tame!C75*H6</f>
        <v>78.467990515708365</v>
      </c>
      <c r="E27" s="96"/>
      <c r="F27" s="73"/>
      <c r="G27" s="73"/>
      <c r="H27" s="73"/>
      <c r="I27" s="73"/>
      <c r="J27" s="72"/>
      <c r="K27" s="72"/>
      <c r="L27" s="72"/>
    </row>
    <row r="28" spans="1:12" s="12" customFormat="1" ht="15.75" x14ac:dyDescent="0.25">
      <c r="A28" s="44">
        <v>2390</v>
      </c>
      <c r="B28" s="44" t="s">
        <v>77</v>
      </c>
      <c r="C28" s="40"/>
      <c r="D28" s="37">
        <f>[2]Tame!C76*H6</f>
        <v>27.825281564908121</v>
      </c>
      <c r="E28" s="97"/>
      <c r="F28" s="73"/>
      <c r="G28" s="73"/>
      <c r="H28" s="73"/>
      <c r="I28" s="73"/>
      <c r="J28" s="72"/>
      <c r="K28" s="72"/>
      <c r="L28" s="72"/>
    </row>
    <row r="29" spans="1:12" s="12" customFormat="1" ht="15.75" x14ac:dyDescent="0.25">
      <c r="A29" s="44"/>
      <c r="B29" s="44" t="s">
        <v>78</v>
      </c>
      <c r="C29" s="40"/>
      <c r="D29" s="37">
        <v>26</v>
      </c>
      <c r="E29" s="97"/>
      <c r="F29" s="73"/>
      <c r="G29" s="73"/>
      <c r="H29" s="73"/>
      <c r="I29" s="73"/>
      <c r="J29" s="72"/>
      <c r="K29" s="72"/>
      <c r="L29" s="72"/>
    </row>
    <row r="30" spans="1:12" s="12" customFormat="1" ht="28.5" customHeight="1" x14ac:dyDescent="0.25">
      <c r="A30" s="48"/>
      <c r="B30" s="49" t="s">
        <v>79</v>
      </c>
      <c r="C30" s="50" t="e">
        <f>C9+#REF!+#REF!+#REF!+#REF!+#REF!+#REF!+#REF!</f>
        <v>#REF!</v>
      </c>
      <c r="D30" s="51">
        <f>D13+D17+D18+D23</f>
        <v>2885.1995791641966</v>
      </c>
      <c r="E30" s="73"/>
      <c r="F30" s="73"/>
      <c r="G30" s="73"/>
      <c r="H30" s="73"/>
      <c r="I30" s="73"/>
      <c r="J30" s="72"/>
      <c r="K30" s="72"/>
      <c r="L30" s="72"/>
    </row>
    <row r="31" spans="1:12" s="12" customFormat="1" ht="28.5" customHeight="1" x14ac:dyDescent="0.25">
      <c r="A31" s="52"/>
      <c r="B31" s="48" t="s">
        <v>39</v>
      </c>
      <c r="C31" s="53"/>
      <c r="D31" s="51">
        <f>D11+D30</f>
        <v>2905.1995791641966</v>
      </c>
      <c r="E31" s="66" t="s">
        <v>80</v>
      </c>
      <c r="F31" s="66" t="s">
        <v>81</v>
      </c>
      <c r="G31" s="66" t="s">
        <v>82</v>
      </c>
      <c r="H31" s="66" t="s">
        <v>83</v>
      </c>
      <c r="I31" s="73"/>
      <c r="J31" s="72"/>
      <c r="K31" s="72"/>
      <c r="L31" s="72"/>
    </row>
    <row r="32" spans="1:12" s="12" customFormat="1" ht="28.5" customHeight="1" x14ac:dyDescent="0.25">
      <c r="A32" s="52"/>
      <c r="B32" s="48" t="s">
        <v>40</v>
      </c>
      <c r="C32" s="53"/>
      <c r="D32" s="50">
        <f>D31/1600</f>
        <v>1.815749736977623</v>
      </c>
      <c r="E32" s="98">
        <f>E33/121*100</f>
        <v>1.6528925619834711</v>
      </c>
      <c r="F32" s="99">
        <f>F33/121*100</f>
        <v>0.82644628099173556</v>
      </c>
      <c r="G32" s="99">
        <f>G33/121*100</f>
        <v>1.8181818181818183</v>
      </c>
      <c r="H32" s="99">
        <f>H33/121*100</f>
        <v>0.90909090909090917</v>
      </c>
      <c r="I32" s="73"/>
      <c r="J32" s="72"/>
      <c r="K32" s="72"/>
      <c r="L32" s="72"/>
    </row>
    <row r="33" spans="1:12" s="12" customFormat="1" ht="28.5" customHeight="1" x14ac:dyDescent="0.25">
      <c r="A33" s="52"/>
      <c r="B33" s="48" t="s">
        <v>41</v>
      </c>
      <c r="C33" s="53"/>
      <c r="D33" s="50">
        <f>D32*1.21</f>
        <v>2.1970571817429239</v>
      </c>
      <c r="E33" s="98">
        <v>2</v>
      </c>
      <c r="F33" s="99">
        <v>1</v>
      </c>
      <c r="G33" s="99">
        <v>2.2000000000000002</v>
      </c>
      <c r="H33" s="99">
        <v>1.1000000000000001</v>
      </c>
      <c r="I33" s="73"/>
      <c r="J33" s="72"/>
      <c r="K33" s="72"/>
      <c r="L33" s="72"/>
    </row>
    <row r="34" spans="1:12" s="12" customFormat="1" ht="28.5" customHeight="1" x14ac:dyDescent="0.25">
      <c r="A34" s="187" t="s">
        <v>84</v>
      </c>
      <c r="B34" s="188"/>
      <c r="C34" s="37">
        <v>574</v>
      </c>
      <c r="D34" s="55">
        <f>40*7*5</f>
        <v>1400</v>
      </c>
      <c r="E34" s="73"/>
      <c r="F34" s="73" t="s">
        <v>85</v>
      </c>
      <c r="G34" s="73"/>
      <c r="H34" s="73"/>
      <c r="I34" s="73"/>
      <c r="J34" s="72"/>
      <c r="K34" s="72">
        <f>35*40</f>
        <v>1400</v>
      </c>
      <c r="L34" s="72"/>
    </row>
    <row r="35" spans="1:12" ht="28.5" customHeight="1" x14ac:dyDescent="0.3">
      <c r="A35" s="179" t="s">
        <v>86</v>
      </c>
      <c r="B35" s="180"/>
      <c r="C35" s="56"/>
      <c r="D35" s="57">
        <f>D34/2*G32</f>
        <v>1272.7272727272727</v>
      </c>
      <c r="E35" s="100"/>
    </row>
    <row r="36" spans="1:12" ht="28.5" customHeight="1" x14ac:dyDescent="0.3">
      <c r="A36" s="179" t="s">
        <v>87</v>
      </c>
      <c r="B36" s="180"/>
      <c r="C36" s="56"/>
      <c r="D36" s="57">
        <f>D34/2*H32</f>
        <v>636.36363636363637</v>
      </c>
      <c r="E36" s="100"/>
    </row>
    <row r="37" spans="1:12" ht="28.5" customHeight="1" x14ac:dyDescent="0.3">
      <c r="A37" s="181" t="s">
        <v>55</v>
      </c>
      <c r="B37" s="182"/>
      <c r="C37" s="53"/>
      <c r="D37" s="51">
        <f>D35+D36</f>
        <v>1909.090909090909</v>
      </c>
    </row>
    <row r="38" spans="1:12" x14ac:dyDescent="0.3">
      <c r="B38" s="189"/>
      <c r="C38" s="189"/>
      <c r="D38" s="58"/>
      <c r="E38" s="101" t="s">
        <v>88</v>
      </c>
    </row>
    <row r="39" spans="1:12" s="12" customFormat="1" ht="28.5" customHeight="1" x14ac:dyDescent="0.25">
      <c r="A39" s="52"/>
      <c r="B39" s="48" t="s">
        <v>89</v>
      </c>
      <c r="C39" s="53"/>
      <c r="D39" s="50">
        <f>D32+[2]Tame!H15</f>
        <v>2.2682497369776229</v>
      </c>
      <c r="E39" s="98">
        <f>E40/121*100</f>
        <v>2.0661157024793391</v>
      </c>
      <c r="F39" s="99">
        <f>F40/121*100</f>
        <v>1.2396694214876034</v>
      </c>
      <c r="G39" s="99">
        <f>G40/121*100</f>
        <v>2.2727272727272729</v>
      </c>
      <c r="H39" s="99">
        <f>H40/121*100</f>
        <v>1.3636363636363635</v>
      </c>
      <c r="I39" s="73"/>
      <c r="J39" s="72"/>
      <c r="K39" s="72"/>
      <c r="L39" s="72"/>
    </row>
    <row r="40" spans="1:12" s="12" customFormat="1" ht="28.5" customHeight="1" x14ac:dyDescent="0.25">
      <c r="A40" s="52"/>
      <c r="B40" s="48" t="s">
        <v>90</v>
      </c>
      <c r="C40" s="53"/>
      <c r="D40" s="50">
        <f>D39*1.21</f>
        <v>2.7445821817429237</v>
      </c>
      <c r="E40" s="98">
        <v>2.5</v>
      </c>
      <c r="F40" s="99">
        <v>1.5</v>
      </c>
      <c r="G40" s="99">
        <v>2.75</v>
      </c>
      <c r="H40" s="99">
        <v>1.65</v>
      </c>
      <c r="I40" s="73"/>
      <c r="J40" s="72"/>
      <c r="K40" s="72"/>
      <c r="L40" s="72"/>
    </row>
    <row r="41" spans="1:12" s="12" customFormat="1" ht="28.5" customHeight="1" x14ac:dyDescent="0.25">
      <c r="A41" s="187" t="s">
        <v>84</v>
      </c>
      <c r="B41" s="188"/>
      <c r="C41" s="37">
        <v>574</v>
      </c>
      <c r="D41" s="55">
        <f>D34/2</f>
        <v>700</v>
      </c>
      <c r="E41" s="73"/>
      <c r="F41" s="73" t="s">
        <v>85</v>
      </c>
      <c r="G41" s="73"/>
      <c r="H41" s="73"/>
      <c r="I41" s="73"/>
      <c r="J41" s="72"/>
      <c r="K41" s="72">
        <f>35*40</f>
        <v>1400</v>
      </c>
      <c r="L41" s="72"/>
    </row>
    <row r="42" spans="1:12" ht="28.5" customHeight="1" x14ac:dyDescent="0.3">
      <c r="A42" s="179" t="s">
        <v>91</v>
      </c>
      <c r="B42" s="180"/>
      <c r="C42" s="56"/>
      <c r="D42" s="57">
        <f>D41*0.5*G39</f>
        <v>795.4545454545455</v>
      </c>
      <c r="E42" s="100"/>
    </row>
    <row r="43" spans="1:12" ht="28.5" customHeight="1" x14ac:dyDescent="0.3">
      <c r="A43" s="179" t="s">
        <v>92</v>
      </c>
      <c r="B43" s="180"/>
      <c r="C43" s="56"/>
      <c r="D43" s="57">
        <f>D41*0.5*H39</f>
        <v>477.27272727272725</v>
      </c>
      <c r="E43" s="100"/>
    </row>
    <row r="44" spans="1:12" ht="28.5" customHeight="1" x14ac:dyDescent="0.3">
      <c r="A44" s="181" t="s">
        <v>55</v>
      </c>
      <c r="B44" s="182"/>
      <c r="C44" s="53"/>
      <c r="D44" s="51">
        <f>D42+D43</f>
        <v>1272.7272727272727</v>
      </c>
      <c r="E44" s="97"/>
    </row>
    <row r="45" spans="1:12" x14ac:dyDescent="0.3">
      <c r="B45" s="189"/>
      <c r="C45" s="189"/>
      <c r="D45" s="58"/>
      <c r="E45" s="97" t="s">
        <v>93</v>
      </c>
    </row>
    <row r="46" spans="1:12" s="12" customFormat="1" ht="28.5" customHeight="1" x14ac:dyDescent="0.25">
      <c r="A46" s="52"/>
      <c r="B46" s="48" t="s">
        <v>94</v>
      </c>
      <c r="C46" s="53"/>
      <c r="D46" s="50">
        <f>D39+1.37</f>
        <v>3.638249736977623</v>
      </c>
      <c r="E46" s="98">
        <f>E47/121*100</f>
        <v>3.3057851239669422</v>
      </c>
      <c r="F46" s="99">
        <f>F47/121*100</f>
        <v>2.0661157024793391</v>
      </c>
      <c r="G46" s="99">
        <f>G47/121*100</f>
        <v>3.6363636363636367</v>
      </c>
      <c r="H46" s="99">
        <f>H47/121*100</f>
        <v>2.2727272727272729</v>
      </c>
      <c r="I46" s="73"/>
      <c r="J46" s="72"/>
      <c r="K46" s="72"/>
      <c r="L46" s="72"/>
    </row>
    <row r="47" spans="1:12" s="12" customFormat="1" ht="28.5" customHeight="1" x14ac:dyDescent="0.25">
      <c r="A47" s="52"/>
      <c r="B47" s="48" t="s">
        <v>95</v>
      </c>
      <c r="C47" s="53"/>
      <c r="D47" s="50">
        <f>D46*1.21</f>
        <v>4.4022821817429234</v>
      </c>
      <c r="E47" s="98">
        <v>4</v>
      </c>
      <c r="F47" s="99">
        <v>2.5</v>
      </c>
      <c r="G47" s="99">
        <v>4.4000000000000004</v>
      </c>
      <c r="H47" s="99">
        <v>2.75</v>
      </c>
      <c r="I47" s="73"/>
      <c r="J47" s="72"/>
      <c r="K47" s="72"/>
      <c r="L47" s="72"/>
    </row>
    <row r="48" spans="1:12" s="12" customFormat="1" ht="28.5" customHeight="1" x14ac:dyDescent="0.25">
      <c r="A48" s="187" t="s">
        <v>84</v>
      </c>
      <c r="B48" s="188"/>
      <c r="C48" s="37">
        <v>574</v>
      </c>
      <c r="D48" s="55">
        <v>10</v>
      </c>
      <c r="E48" s="73"/>
      <c r="F48" s="73" t="s">
        <v>85</v>
      </c>
      <c r="G48" s="73"/>
      <c r="H48" s="73"/>
      <c r="I48" s="73"/>
      <c r="J48" s="72"/>
      <c r="K48" s="72">
        <f>35*40</f>
        <v>1400</v>
      </c>
      <c r="L48" s="72"/>
    </row>
    <row r="49" spans="1:12" s="61" customFormat="1" ht="16.5" customHeight="1" x14ac:dyDescent="0.25">
      <c r="A49" s="102"/>
      <c r="B49" s="183" t="s">
        <v>96</v>
      </c>
      <c r="C49" s="183"/>
      <c r="D49" s="60">
        <f>D35+D36+D42+D43+D48/2*G46+D48/2*H46-D31</f>
        <v>306.16405719943987</v>
      </c>
      <c r="E49" s="73"/>
      <c r="F49" s="73"/>
      <c r="G49" s="73"/>
      <c r="H49" s="73"/>
      <c r="I49" s="73"/>
      <c r="J49" s="72"/>
      <c r="K49" s="72"/>
      <c r="L49" s="72"/>
    </row>
    <row r="50" spans="1:12" s="61" customFormat="1" ht="16.5" customHeight="1" x14ac:dyDescent="0.25">
      <c r="A50" s="102"/>
      <c r="B50" s="102" t="s">
        <v>97</v>
      </c>
      <c r="C50" s="102"/>
      <c r="D50" s="60">
        <f>700*E32+700*F32+350*E39+350*F39+5*G46+5*H46-D31</f>
        <v>16.907858852332538</v>
      </c>
      <c r="E50" s="73"/>
      <c r="F50" s="73"/>
      <c r="G50" s="73"/>
      <c r="H50" s="73"/>
      <c r="I50" s="73"/>
      <c r="J50" s="72"/>
      <c r="K50" s="72"/>
      <c r="L50" s="72"/>
    </row>
    <row r="51" spans="1:12" s="12" customFormat="1" ht="16.5" customHeight="1" x14ac:dyDescent="0.25">
      <c r="A51" s="26"/>
      <c r="B51" s="26"/>
      <c r="C51" s="87"/>
      <c r="D51" s="88"/>
      <c r="E51" s="73"/>
      <c r="F51" s="73"/>
      <c r="G51" s="73"/>
      <c r="H51" s="73"/>
      <c r="I51" s="73"/>
      <c r="J51" s="72"/>
      <c r="K51" s="72"/>
      <c r="L51" s="72"/>
    </row>
    <row r="52" spans="1:12" s="12" customFormat="1" ht="16.5" customHeight="1" x14ac:dyDescent="0.25">
      <c r="A52" s="26"/>
      <c r="B52" s="26"/>
      <c r="C52" s="87"/>
      <c r="D52" s="88"/>
      <c r="E52" s="73"/>
      <c r="F52" s="73"/>
      <c r="G52" s="73"/>
      <c r="H52" s="73"/>
      <c r="I52" s="73"/>
      <c r="J52" s="72"/>
      <c r="K52" s="72"/>
      <c r="L52" s="72"/>
    </row>
    <row r="53" spans="1:12" x14ac:dyDescent="0.3">
      <c r="A53" s="1" t="s">
        <v>59</v>
      </c>
    </row>
  </sheetData>
  <mergeCells count="13">
    <mergeCell ref="B38:C38"/>
    <mergeCell ref="A1:D1"/>
    <mergeCell ref="A34:B34"/>
    <mergeCell ref="A35:B35"/>
    <mergeCell ref="A36:B36"/>
    <mergeCell ref="A37:B37"/>
    <mergeCell ref="B49:C49"/>
    <mergeCell ref="A41:B41"/>
    <mergeCell ref="A42:B42"/>
    <mergeCell ref="A43:B43"/>
    <mergeCell ref="A44:B44"/>
    <mergeCell ref="B45:C45"/>
    <mergeCell ref="A48:B48"/>
  </mergeCells>
  <printOptions horizontalCentered="1"/>
  <pageMargins left="0.74803149606299213" right="0.74803149606299213" top="0.78740157480314965" bottom="0.59055118110236227" header="0" footer="0"/>
  <pageSetup paperSize="9" scale="62" orientation="portrait" r:id="rId1"/>
  <headerFooter alignWithMargins="0"/>
  <colBreaks count="1" manualBreakCount="1">
    <brk id="4"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ABFBB-438E-46A1-92D2-6D50654DA2A9}">
  <sheetPr>
    <tabColor rgb="FF92D050"/>
  </sheetPr>
  <dimension ref="A1:L38"/>
  <sheetViews>
    <sheetView topLeftCell="A8" zoomScale="90" zoomScaleNormal="90" workbookViewId="0">
      <selection activeCell="A35" sqref="A35:XFD36"/>
    </sheetView>
  </sheetViews>
  <sheetFormatPr defaultRowHeight="18.75" x14ac:dyDescent="0.3"/>
  <cols>
    <col min="1" max="1" width="17" style="1" customWidth="1"/>
    <col min="2" max="2" width="71.5703125" style="1" customWidth="1"/>
    <col min="3" max="3" width="19.140625" style="1" hidden="1" customWidth="1"/>
    <col min="4" max="4" width="19.140625" style="1" customWidth="1"/>
    <col min="5" max="5" width="22.7109375" style="65" customWidth="1"/>
    <col min="6" max="6" width="19.42578125" style="65" customWidth="1"/>
    <col min="7" max="7" width="25.140625" style="65" customWidth="1"/>
    <col min="8" max="8" width="22.7109375" style="65" customWidth="1"/>
    <col min="9" max="12" width="9.140625" style="65"/>
    <col min="13" max="256" width="9.140625" style="1"/>
    <col min="257" max="257" width="17" style="1" customWidth="1"/>
    <col min="258" max="258" width="71.5703125" style="1" customWidth="1"/>
    <col min="259" max="259" width="0" style="1" hidden="1" customWidth="1"/>
    <col min="260" max="260" width="19.140625" style="1" customWidth="1"/>
    <col min="261" max="261" width="22.7109375" style="1" customWidth="1"/>
    <col min="262" max="262" width="19.42578125" style="1" customWidth="1"/>
    <col min="263" max="263" width="25.140625" style="1" customWidth="1"/>
    <col min="264" max="264" width="22.7109375" style="1" customWidth="1"/>
    <col min="265" max="512" width="9.140625" style="1"/>
    <col min="513" max="513" width="17" style="1" customWidth="1"/>
    <col min="514" max="514" width="71.5703125" style="1" customWidth="1"/>
    <col min="515" max="515" width="0" style="1" hidden="1" customWidth="1"/>
    <col min="516" max="516" width="19.140625" style="1" customWidth="1"/>
    <col min="517" max="517" width="22.7109375" style="1" customWidth="1"/>
    <col min="518" max="518" width="19.42578125" style="1" customWidth="1"/>
    <col min="519" max="519" width="25.140625" style="1" customWidth="1"/>
    <col min="520" max="520" width="22.7109375" style="1" customWidth="1"/>
    <col min="521" max="768" width="9.140625" style="1"/>
    <col min="769" max="769" width="17" style="1" customWidth="1"/>
    <col min="770" max="770" width="71.5703125" style="1" customWidth="1"/>
    <col min="771" max="771" width="0" style="1" hidden="1" customWidth="1"/>
    <col min="772" max="772" width="19.140625" style="1" customWidth="1"/>
    <col min="773" max="773" width="22.7109375" style="1" customWidth="1"/>
    <col min="774" max="774" width="19.42578125" style="1" customWidth="1"/>
    <col min="775" max="775" width="25.140625" style="1" customWidth="1"/>
    <col min="776" max="776" width="22.7109375" style="1" customWidth="1"/>
    <col min="777" max="1024" width="9.140625" style="1"/>
    <col min="1025" max="1025" width="17" style="1" customWidth="1"/>
    <col min="1026" max="1026" width="71.5703125" style="1" customWidth="1"/>
    <col min="1027" max="1027" width="0" style="1" hidden="1" customWidth="1"/>
    <col min="1028" max="1028" width="19.140625" style="1" customWidth="1"/>
    <col min="1029" max="1029" width="22.7109375" style="1" customWidth="1"/>
    <col min="1030" max="1030" width="19.42578125" style="1" customWidth="1"/>
    <col min="1031" max="1031" width="25.140625" style="1" customWidth="1"/>
    <col min="1032" max="1032" width="22.7109375" style="1" customWidth="1"/>
    <col min="1033" max="1280" width="9.140625" style="1"/>
    <col min="1281" max="1281" width="17" style="1" customWidth="1"/>
    <col min="1282" max="1282" width="71.5703125" style="1" customWidth="1"/>
    <col min="1283" max="1283" width="0" style="1" hidden="1" customWidth="1"/>
    <col min="1284" max="1284" width="19.140625" style="1" customWidth="1"/>
    <col min="1285" max="1285" width="22.7109375" style="1" customWidth="1"/>
    <col min="1286" max="1286" width="19.42578125" style="1" customWidth="1"/>
    <col min="1287" max="1287" width="25.140625" style="1" customWidth="1"/>
    <col min="1288" max="1288" width="22.7109375" style="1" customWidth="1"/>
    <col min="1289" max="1536" width="9.140625" style="1"/>
    <col min="1537" max="1537" width="17" style="1" customWidth="1"/>
    <col min="1538" max="1538" width="71.5703125" style="1" customWidth="1"/>
    <col min="1539" max="1539" width="0" style="1" hidden="1" customWidth="1"/>
    <col min="1540" max="1540" width="19.140625" style="1" customWidth="1"/>
    <col min="1541" max="1541" width="22.7109375" style="1" customWidth="1"/>
    <col min="1542" max="1542" width="19.42578125" style="1" customWidth="1"/>
    <col min="1543" max="1543" width="25.140625" style="1" customWidth="1"/>
    <col min="1544" max="1544" width="22.7109375" style="1" customWidth="1"/>
    <col min="1545" max="1792" width="9.140625" style="1"/>
    <col min="1793" max="1793" width="17" style="1" customWidth="1"/>
    <col min="1794" max="1794" width="71.5703125" style="1" customWidth="1"/>
    <col min="1795" max="1795" width="0" style="1" hidden="1" customWidth="1"/>
    <col min="1796" max="1796" width="19.140625" style="1" customWidth="1"/>
    <col min="1797" max="1797" width="22.7109375" style="1" customWidth="1"/>
    <col min="1798" max="1798" width="19.42578125" style="1" customWidth="1"/>
    <col min="1799" max="1799" width="25.140625" style="1" customWidth="1"/>
    <col min="1800" max="1800" width="22.7109375" style="1" customWidth="1"/>
    <col min="1801" max="2048" width="9.140625" style="1"/>
    <col min="2049" max="2049" width="17" style="1" customWidth="1"/>
    <col min="2050" max="2050" width="71.5703125" style="1" customWidth="1"/>
    <col min="2051" max="2051" width="0" style="1" hidden="1" customWidth="1"/>
    <col min="2052" max="2052" width="19.140625" style="1" customWidth="1"/>
    <col min="2053" max="2053" width="22.7109375" style="1" customWidth="1"/>
    <col min="2054" max="2054" width="19.42578125" style="1" customWidth="1"/>
    <col min="2055" max="2055" width="25.140625" style="1" customWidth="1"/>
    <col min="2056" max="2056" width="22.7109375" style="1" customWidth="1"/>
    <col min="2057" max="2304" width="9.140625" style="1"/>
    <col min="2305" max="2305" width="17" style="1" customWidth="1"/>
    <col min="2306" max="2306" width="71.5703125" style="1" customWidth="1"/>
    <col min="2307" max="2307" width="0" style="1" hidden="1" customWidth="1"/>
    <col min="2308" max="2308" width="19.140625" style="1" customWidth="1"/>
    <col min="2309" max="2309" width="22.7109375" style="1" customWidth="1"/>
    <col min="2310" max="2310" width="19.42578125" style="1" customWidth="1"/>
    <col min="2311" max="2311" width="25.140625" style="1" customWidth="1"/>
    <col min="2312" max="2312" width="22.7109375" style="1" customWidth="1"/>
    <col min="2313" max="2560" width="9.140625" style="1"/>
    <col min="2561" max="2561" width="17" style="1" customWidth="1"/>
    <col min="2562" max="2562" width="71.5703125" style="1" customWidth="1"/>
    <col min="2563" max="2563" width="0" style="1" hidden="1" customWidth="1"/>
    <col min="2564" max="2564" width="19.140625" style="1" customWidth="1"/>
    <col min="2565" max="2565" width="22.7109375" style="1" customWidth="1"/>
    <col min="2566" max="2566" width="19.42578125" style="1" customWidth="1"/>
    <col min="2567" max="2567" width="25.140625" style="1" customWidth="1"/>
    <col min="2568" max="2568" width="22.7109375" style="1" customWidth="1"/>
    <col min="2569" max="2816" width="9.140625" style="1"/>
    <col min="2817" max="2817" width="17" style="1" customWidth="1"/>
    <col min="2818" max="2818" width="71.5703125" style="1" customWidth="1"/>
    <col min="2819" max="2819" width="0" style="1" hidden="1" customWidth="1"/>
    <col min="2820" max="2820" width="19.140625" style="1" customWidth="1"/>
    <col min="2821" max="2821" width="22.7109375" style="1" customWidth="1"/>
    <col min="2822" max="2822" width="19.42578125" style="1" customWidth="1"/>
    <col min="2823" max="2823" width="25.140625" style="1" customWidth="1"/>
    <col min="2824" max="2824" width="22.7109375" style="1" customWidth="1"/>
    <col min="2825" max="3072" width="9.140625" style="1"/>
    <col min="3073" max="3073" width="17" style="1" customWidth="1"/>
    <col min="3074" max="3074" width="71.5703125" style="1" customWidth="1"/>
    <col min="3075" max="3075" width="0" style="1" hidden="1" customWidth="1"/>
    <col min="3076" max="3076" width="19.140625" style="1" customWidth="1"/>
    <col min="3077" max="3077" width="22.7109375" style="1" customWidth="1"/>
    <col min="3078" max="3078" width="19.42578125" style="1" customWidth="1"/>
    <col min="3079" max="3079" width="25.140625" style="1" customWidth="1"/>
    <col min="3080" max="3080" width="22.7109375" style="1" customWidth="1"/>
    <col min="3081" max="3328" width="9.140625" style="1"/>
    <col min="3329" max="3329" width="17" style="1" customWidth="1"/>
    <col min="3330" max="3330" width="71.5703125" style="1" customWidth="1"/>
    <col min="3331" max="3331" width="0" style="1" hidden="1" customWidth="1"/>
    <col min="3332" max="3332" width="19.140625" style="1" customWidth="1"/>
    <col min="3333" max="3333" width="22.7109375" style="1" customWidth="1"/>
    <col min="3334" max="3334" width="19.42578125" style="1" customWidth="1"/>
    <col min="3335" max="3335" width="25.140625" style="1" customWidth="1"/>
    <col min="3336" max="3336" width="22.7109375" style="1" customWidth="1"/>
    <col min="3337" max="3584" width="9.140625" style="1"/>
    <col min="3585" max="3585" width="17" style="1" customWidth="1"/>
    <col min="3586" max="3586" width="71.5703125" style="1" customWidth="1"/>
    <col min="3587" max="3587" width="0" style="1" hidden="1" customWidth="1"/>
    <col min="3588" max="3588" width="19.140625" style="1" customWidth="1"/>
    <col min="3589" max="3589" width="22.7109375" style="1" customWidth="1"/>
    <col min="3590" max="3590" width="19.42578125" style="1" customWidth="1"/>
    <col min="3591" max="3591" width="25.140625" style="1" customWidth="1"/>
    <col min="3592" max="3592" width="22.7109375" style="1" customWidth="1"/>
    <col min="3593" max="3840" width="9.140625" style="1"/>
    <col min="3841" max="3841" width="17" style="1" customWidth="1"/>
    <col min="3842" max="3842" width="71.5703125" style="1" customWidth="1"/>
    <col min="3843" max="3843" width="0" style="1" hidden="1" customWidth="1"/>
    <col min="3844" max="3844" width="19.140625" style="1" customWidth="1"/>
    <col min="3845" max="3845" width="22.7109375" style="1" customWidth="1"/>
    <col min="3846" max="3846" width="19.42578125" style="1" customWidth="1"/>
    <col min="3847" max="3847" width="25.140625" style="1" customWidth="1"/>
    <col min="3848" max="3848" width="22.7109375" style="1" customWidth="1"/>
    <col min="3849" max="4096" width="9.140625" style="1"/>
    <col min="4097" max="4097" width="17" style="1" customWidth="1"/>
    <col min="4098" max="4098" width="71.5703125" style="1" customWidth="1"/>
    <col min="4099" max="4099" width="0" style="1" hidden="1" customWidth="1"/>
    <col min="4100" max="4100" width="19.140625" style="1" customWidth="1"/>
    <col min="4101" max="4101" width="22.7109375" style="1" customWidth="1"/>
    <col min="4102" max="4102" width="19.42578125" style="1" customWidth="1"/>
    <col min="4103" max="4103" width="25.140625" style="1" customWidth="1"/>
    <col min="4104" max="4104" width="22.7109375" style="1" customWidth="1"/>
    <col min="4105" max="4352" width="9.140625" style="1"/>
    <col min="4353" max="4353" width="17" style="1" customWidth="1"/>
    <col min="4354" max="4354" width="71.5703125" style="1" customWidth="1"/>
    <col min="4355" max="4355" width="0" style="1" hidden="1" customWidth="1"/>
    <col min="4356" max="4356" width="19.140625" style="1" customWidth="1"/>
    <col min="4357" max="4357" width="22.7109375" style="1" customWidth="1"/>
    <col min="4358" max="4358" width="19.42578125" style="1" customWidth="1"/>
    <col min="4359" max="4359" width="25.140625" style="1" customWidth="1"/>
    <col min="4360" max="4360" width="22.7109375" style="1" customWidth="1"/>
    <col min="4361" max="4608" width="9.140625" style="1"/>
    <col min="4609" max="4609" width="17" style="1" customWidth="1"/>
    <col min="4610" max="4610" width="71.5703125" style="1" customWidth="1"/>
    <col min="4611" max="4611" width="0" style="1" hidden="1" customWidth="1"/>
    <col min="4612" max="4612" width="19.140625" style="1" customWidth="1"/>
    <col min="4613" max="4613" width="22.7109375" style="1" customWidth="1"/>
    <col min="4614" max="4614" width="19.42578125" style="1" customWidth="1"/>
    <col min="4615" max="4615" width="25.140625" style="1" customWidth="1"/>
    <col min="4616" max="4616" width="22.7109375" style="1" customWidth="1"/>
    <col min="4617" max="4864" width="9.140625" style="1"/>
    <col min="4865" max="4865" width="17" style="1" customWidth="1"/>
    <col min="4866" max="4866" width="71.5703125" style="1" customWidth="1"/>
    <col min="4867" max="4867" width="0" style="1" hidden="1" customWidth="1"/>
    <col min="4868" max="4868" width="19.140625" style="1" customWidth="1"/>
    <col min="4869" max="4869" width="22.7109375" style="1" customWidth="1"/>
    <col min="4870" max="4870" width="19.42578125" style="1" customWidth="1"/>
    <col min="4871" max="4871" width="25.140625" style="1" customWidth="1"/>
    <col min="4872" max="4872" width="22.7109375" style="1" customWidth="1"/>
    <col min="4873" max="5120" width="9.140625" style="1"/>
    <col min="5121" max="5121" width="17" style="1" customWidth="1"/>
    <col min="5122" max="5122" width="71.5703125" style="1" customWidth="1"/>
    <col min="5123" max="5123" width="0" style="1" hidden="1" customWidth="1"/>
    <col min="5124" max="5124" width="19.140625" style="1" customWidth="1"/>
    <col min="5125" max="5125" width="22.7109375" style="1" customWidth="1"/>
    <col min="5126" max="5126" width="19.42578125" style="1" customWidth="1"/>
    <col min="5127" max="5127" width="25.140625" style="1" customWidth="1"/>
    <col min="5128" max="5128" width="22.7109375" style="1" customWidth="1"/>
    <col min="5129" max="5376" width="9.140625" style="1"/>
    <col min="5377" max="5377" width="17" style="1" customWidth="1"/>
    <col min="5378" max="5378" width="71.5703125" style="1" customWidth="1"/>
    <col min="5379" max="5379" width="0" style="1" hidden="1" customWidth="1"/>
    <col min="5380" max="5380" width="19.140625" style="1" customWidth="1"/>
    <col min="5381" max="5381" width="22.7109375" style="1" customWidth="1"/>
    <col min="5382" max="5382" width="19.42578125" style="1" customWidth="1"/>
    <col min="5383" max="5383" width="25.140625" style="1" customWidth="1"/>
    <col min="5384" max="5384" width="22.7109375" style="1" customWidth="1"/>
    <col min="5385" max="5632" width="9.140625" style="1"/>
    <col min="5633" max="5633" width="17" style="1" customWidth="1"/>
    <col min="5634" max="5634" width="71.5703125" style="1" customWidth="1"/>
    <col min="5635" max="5635" width="0" style="1" hidden="1" customWidth="1"/>
    <col min="5636" max="5636" width="19.140625" style="1" customWidth="1"/>
    <col min="5637" max="5637" width="22.7109375" style="1" customWidth="1"/>
    <col min="5638" max="5638" width="19.42578125" style="1" customWidth="1"/>
    <col min="5639" max="5639" width="25.140625" style="1" customWidth="1"/>
    <col min="5640" max="5640" width="22.7109375" style="1" customWidth="1"/>
    <col min="5641" max="5888" width="9.140625" style="1"/>
    <col min="5889" max="5889" width="17" style="1" customWidth="1"/>
    <col min="5890" max="5890" width="71.5703125" style="1" customWidth="1"/>
    <col min="5891" max="5891" width="0" style="1" hidden="1" customWidth="1"/>
    <col min="5892" max="5892" width="19.140625" style="1" customWidth="1"/>
    <col min="5893" max="5893" width="22.7109375" style="1" customWidth="1"/>
    <col min="5894" max="5894" width="19.42578125" style="1" customWidth="1"/>
    <col min="5895" max="5895" width="25.140625" style="1" customWidth="1"/>
    <col min="5896" max="5896" width="22.7109375" style="1" customWidth="1"/>
    <col min="5897" max="6144" width="9.140625" style="1"/>
    <col min="6145" max="6145" width="17" style="1" customWidth="1"/>
    <col min="6146" max="6146" width="71.5703125" style="1" customWidth="1"/>
    <col min="6147" max="6147" width="0" style="1" hidden="1" customWidth="1"/>
    <col min="6148" max="6148" width="19.140625" style="1" customWidth="1"/>
    <col min="6149" max="6149" width="22.7109375" style="1" customWidth="1"/>
    <col min="6150" max="6150" width="19.42578125" style="1" customWidth="1"/>
    <col min="6151" max="6151" width="25.140625" style="1" customWidth="1"/>
    <col min="6152" max="6152" width="22.7109375" style="1" customWidth="1"/>
    <col min="6153" max="6400" width="9.140625" style="1"/>
    <col min="6401" max="6401" width="17" style="1" customWidth="1"/>
    <col min="6402" max="6402" width="71.5703125" style="1" customWidth="1"/>
    <col min="6403" max="6403" width="0" style="1" hidden="1" customWidth="1"/>
    <col min="6404" max="6404" width="19.140625" style="1" customWidth="1"/>
    <col min="6405" max="6405" width="22.7109375" style="1" customWidth="1"/>
    <col min="6406" max="6406" width="19.42578125" style="1" customWidth="1"/>
    <col min="6407" max="6407" width="25.140625" style="1" customWidth="1"/>
    <col min="6408" max="6408" width="22.7109375" style="1" customWidth="1"/>
    <col min="6409" max="6656" width="9.140625" style="1"/>
    <col min="6657" max="6657" width="17" style="1" customWidth="1"/>
    <col min="6658" max="6658" width="71.5703125" style="1" customWidth="1"/>
    <col min="6659" max="6659" width="0" style="1" hidden="1" customWidth="1"/>
    <col min="6660" max="6660" width="19.140625" style="1" customWidth="1"/>
    <col min="6661" max="6661" width="22.7109375" style="1" customWidth="1"/>
    <col min="6662" max="6662" width="19.42578125" style="1" customWidth="1"/>
    <col min="6663" max="6663" width="25.140625" style="1" customWidth="1"/>
    <col min="6664" max="6664" width="22.7109375" style="1" customWidth="1"/>
    <col min="6665" max="6912" width="9.140625" style="1"/>
    <col min="6913" max="6913" width="17" style="1" customWidth="1"/>
    <col min="6914" max="6914" width="71.5703125" style="1" customWidth="1"/>
    <col min="6915" max="6915" width="0" style="1" hidden="1" customWidth="1"/>
    <col min="6916" max="6916" width="19.140625" style="1" customWidth="1"/>
    <col min="6917" max="6917" width="22.7109375" style="1" customWidth="1"/>
    <col min="6918" max="6918" width="19.42578125" style="1" customWidth="1"/>
    <col min="6919" max="6919" width="25.140625" style="1" customWidth="1"/>
    <col min="6920" max="6920" width="22.7109375" style="1" customWidth="1"/>
    <col min="6921" max="7168" width="9.140625" style="1"/>
    <col min="7169" max="7169" width="17" style="1" customWidth="1"/>
    <col min="7170" max="7170" width="71.5703125" style="1" customWidth="1"/>
    <col min="7171" max="7171" width="0" style="1" hidden="1" customWidth="1"/>
    <col min="7172" max="7172" width="19.140625" style="1" customWidth="1"/>
    <col min="7173" max="7173" width="22.7109375" style="1" customWidth="1"/>
    <col min="7174" max="7174" width="19.42578125" style="1" customWidth="1"/>
    <col min="7175" max="7175" width="25.140625" style="1" customWidth="1"/>
    <col min="7176" max="7176" width="22.7109375" style="1" customWidth="1"/>
    <col min="7177" max="7424" width="9.140625" style="1"/>
    <col min="7425" max="7425" width="17" style="1" customWidth="1"/>
    <col min="7426" max="7426" width="71.5703125" style="1" customWidth="1"/>
    <col min="7427" max="7427" width="0" style="1" hidden="1" customWidth="1"/>
    <col min="7428" max="7428" width="19.140625" style="1" customWidth="1"/>
    <col min="7429" max="7429" width="22.7109375" style="1" customWidth="1"/>
    <col min="7430" max="7430" width="19.42578125" style="1" customWidth="1"/>
    <col min="7431" max="7431" width="25.140625" style="1" customWidth="1"/>
    <col min="7432" max="7432" width="22.7109375" style="1" customWidth="1"/>
    <col min="7433" max="7680" width="9.140625" style="1"/>
    <col min="7681" max="7681" width="17" style="1" customWidth="1"/>
    <col min="7682" max="7682" width="71.5703125" style="1" customWidth="1"/>
    <col min="7683" max="7683" width="0" style="1" hidden="1" customWidth="1"/>
    <col min="7684" max="7684" width="19.140625" style="1" customWidth="1"/>
    <col min="7685" max="7685" width="22.7109375" style="1" customWidth="1"/>
    <col min="7686" max="7686" width="19.42578125" style="1" customWidth="1"/>
    <col min="7687" max="7687" width="25.140625" style="1" customWidth="1"/>
    <col min="7688" max="7688" width="22.7109375" style="1" customWidth="1"/>
    <col min="7689" max="7936" width="9.140625" style="1"/>
    <col min="7937" max="7937" width="17" style="1" customWidth="1"/>
    <col min="7938" max="7938" width="71.5703125" style="1" customWidth="1"/>
    <col min="7939" max="7939" width="0" style="1" hidden="1" customWidth="1"/>
    <col min="7940" max="7940" width="19.140625" style="1" customWidth="1"/>
    <col min="7941" max="7941" width="22.7109375" style="1" customWidth="1"/>
    <col min="7942" max="7942" width="19.42578125" style="1" customWidth="1"/>
    <col min="7943" max="7943" width="25.140625" style="1" customWidth="1"/>
    <col min="7944" max="7944" width="22.7109375" style="1" customWidth="1"/>
    <col min="7945" max="8192" width="9.140625" style="1"/>
    <col min="8193" max="8193" width="17" style="1" customWidth="1"/>
    <col min="8194" max="8194" width="71.5703125" style="1" customWidth="1"/>
    <col min="8195" max="8195" width="0" style="1" hidden="1" customWidth="1"/>
    <col min="8196" max="8196" width="19.140625" style="1" customWidth="1"/>
    <col min="8197" max="8197" width="22.7109375" style="1" customWidth="1"/>
    <col min="8198" max="8198" width="19.42578125" style="1" customWidth="1"/>
    <col min="8199" max="8199" width="25.140625" style="1" customWidth="1"/>
    <col min="8200" max="8200" width="22.7109375" style="1" customWidth="1"/>
    <col min="8201" max="8448" width="9.140625" style="1"/>
    <col min="8449" max="8449" width="17" style="1" customWidth="1"/>
    <col min="8450" max="8450" width="71.5703125" style="1" customWidth="1"/>
    <col min="8451" max="8451" width="0" style="1" hidden="1" customWidth="1"/>
    <col min="8452" max="8452" width="19.140625" style="1" customWidth="1"/>
    <col min="8453" max="8453" width="22.7109375" style="1" customWidth="1"/>
    <col min="8454" max="8454" width="19.42578125" style="1" customWidth="1"/>
    <col min="8455" max="8455" width="25.140625" style="1" customWidth="1"/>
    <col min="8456" max="8456" width="22.7109375" style="1" customWidth="1"/>
    <col min="8457" max="8704" width="9.140625" style="1"/>
    <col min="8705" max="8705" width="17" style="1" customWidth="1"/>
    <col min="8706" max="8706" width="71.5703125" style="1" customWidth="1"/>
    <col min="8707" max="8707" width="0" style="1" hidden="1" customWidth="1"/>
    <col min="8708" max="8708" width="19.140625" style="1" customWidth="1"/>
    <col min="8709" max="8709" width="22.7109375" style="1" customWidth="1"/>
    <col min="8710" max="8710" width="19.42578125" style="1" customWidth="1"/>
    <col min="8711" max="8711" width="25.140625" style="1" customWidth="1"/>
    <col min="8712" max="8712" width="22.7109375" style="1" customWidth="1"/>
    <col min="8713" max="8960" width="9.140625" style="1"/>
    <col min="8961" max="8961" width="17" style="1" customWidth="1"/>
    <col min="8962" max="8962" width="71.5703125" style="1" customWidth="1"/>
    <col min="8963" max="8963" width="0" style="1" hidden="1" customWidth="1"/>
    <col min="8964" max="8964" width="19.140625" style="1" customWidth="1"/>
    <col min="8965" max="8965" width="22.7109375" style="1" customWidth="1"/>
    <col min="8966" max="8966" width="19.42578125" style="1" customWidth="1"/>
    <col min="8967" max="8967" width="25.140625" style="1" customWidth="1"/>
    <col min="8968" max="8968" width="22.7109375" style="1" customWidth="1"/>
    <col min="8969" max="9216" width="9.140625" style="1"/>
    <col min="9217" max="9217" width="17" style="1" customWidth="1"/>
    <col min="9218" max="9218" width="71.5703125" style="1" customWidth="1"/>
    <col min="9219" max="9219" width="0" style="1" hidden="1" customWidth="1"/>
    <col min="9220" max="9220" width="19.140625" style="1" customWidth="1"/>
    <col min="9221" max="9221" width="22.7109375" style="1" customWidth="1"/>
    <col min="9222" max="9222" width="19.42578125" style="1" customWidth="1"/>
    <col min="9223" max="9223" width="25.140625" style="1" customWidth="1"/>
    <col min="9224" max="9224" width="22.7109375" style="1" customWidth="1"/>
    <col min="9225" max="9472" width="9.140625" style="1"/>
    <col min="9473" max="9473" width="17" style="1" customWidth="1"/>
    <col min="9474" max="9474" width="71.5703125" style="1" customWidth="1"/>
    <col min="9475" max="9475" width="0" style="1" hidden="1" customWidth="1"/>
    <col min="9476" max="9476" width="19.140625" style="1" customWidth="1"/>
    <col min="9477" max="9477" width="22.7109375" style="1" customWidth="1"/>
    <col min="9478" max="9478" width="19.42578125" style="1" customWidth="1"/>
    <col min="9479" max="9479" width="25.140625" style="1" customWidth="1"/>
    <col min="9480" max="9480" width="22.7109375" style="1" customWidth="1"/>
    <col min="9481" max="9728" width="9.140625" style="1"/>
    <col min="9729" max="9729" width="17" style="1" customWidth="1"/>
    <col min="9730" max="9730" width="71.5703125" style="1" customWidth="1"/>
    <col min="9731" max="9731" width="0" style="1" hidden="1" customWidth="1"/>
    <col min="9732" max="9732" width="19.140625" style="1" customWidth="1"/>
    <col min="9733" max="9733" width="22.7109375" style="1" customWidth="1"/>
    <col min="9734" max="9734" width="19.42578125" style="1" customWidth="1"/>
    <col min="9735" max="9735" width="25.140625" style="1" customWidth="1"/>
    <col min="9736" max="9736" width="22.7109375" style="1" customWidth="1"/>
    <col min="9737" max="9984" width="9.140625" style="1"/>
    <col min="9985" max="9985" width="17" style="1" customWidth="1"/>
    <col min="9986" max="9986" width="71.5703125" style="1" customWidth="1"/>
    <col min="9987" max="9987" width="0" style="1" hidden="1" customWidth="1"/>
    <col min="9988" max="9988" width="19.140625" style="1" customWidth="1"/>
    <col min="9989" max="9989" width="22.7109375" style="1" customWidth="1"/>
    <col min="9990" max="9990" width="19.42578125" style="1" customWidth="1"/>
    <col min="9991" max="9991" width="25.140625" style="1" customWidth="1"/>
    <col min="9992" max="9992" width="22.7109375" style="1" customWidth="1"/>
    <col min="9993" max="10240" width="9.140625" style="1"/>
    <col min="10241" max="10241" width="17" style="1" customWidth="1"/>
    <col min="10242" max="10242" width="71.5703125" style="1" customWidth="1"/>
    <col min="10243" max="10243" width="0" style="1" hidden="1" customWidth="1"/>
    <col min="10244" max="10244" width="19.140625" style="1" customWidth="1"/>
    <col min="10245" max="10245" width="22.7109375" style="1" customWidth="1"/>
    <col min="10246" max="10246" width="19.42578125" style="1" customWidth="1"/>
    <col min="10247" max="10247" width="25.140625" style="1" customWidth="1"/>
    <col min="10248" max="10248" width="22.7109375" style="1" customWidth="1"/>
    <col min="10249" max="10496" width="9.140625" style="1"/>
    <col min="10497" max="10497" width="17" style="1" customWidth="1"/>
    <col min="10498" max="10498" width="71.5703125" style="1" customWidth="1"/>
    <col min="10499" max="10499" width="0" style="1" hidden="1" customWidth="1"/>
    <col min="10500" max="10500" width="19.140625" style="1" customWidth="1"/>
    <col min="10501" max="10501" width="22.7109375" style="1" customWidth="1"/>
    <col min="10502" max="10502" width="19.42578125" style="1" customWidth="1"/>
    <col min="10503" max="10503" width="25.140625" style="1" customWidth="1"/>
    <col min="10504" max="10504" width="22.7109375" style="1" customWidth="1"/>
    <col min="10505" max="10752" width="9.140625" style="1"/>
    <col min="10753" max="10753" width="17" style="1" customWidth="1"/>
    <col min="10754" max="10754" width="71.5703125" style="1" customWidth="1"/>
    <col min="10755" max="10755" width="0" style="1" hidden="1" customWidth="1"/>
    <col min="10756" max="10756" width="19.140625" style="1" customWidth="1"/>
    <col min="10757" max="10757" width="22.7109375" style="1" customWidth="1"/>
    <col min="10758" max="10758" width="19.42578125" style="1" customWidth="1"/>
    <col min="10759" max="10759" width="25.140625" style="1" customWidth="1"/>
    <col min="10760" max="10760" width="22.7109375" style="1" customWidth="1"/>
    <col min="10761" max="11008" width="9.140625" style="1"/>
    <col min="11009" max="11009" width="17" style="1" customWidth="1"/>
    <col min="11010" max="11010" width="71.5703125" style="1" customWidth="1"/>
    <col min="11011" max="11011" width="0" style="1" hidden="1" customWidth="1"/>
    <col min="11012" max="11012" width="19.140625" style="1" customWidth="1"/>
    <col min="11013" max="11013" width="22.7109375" style="1" customWidth="1"/>
    <col min="11014" max="11014" width="19.42578125" style="1" customWidth="1"/>
    <col min="11015" max="11015" width="25.140625" style="1" customWidth="1"/>
    <col min="11016" max="11016" width="22.7109375" style="1" customWidth="1"/>
    <col min="11017" max="11264" width="9.140625" style="1"/>
    <col min="11265" max="11265" width="17" style="1" customWidth="1"/>
    <col min="11266" max="11266" width="71.5703125" style="1" customWidth="1"/>
    <col min="11267" max="11267" width="0" style="1" hidden="1" customWidth="1"/>
    <col min="11268" max="11268" width="19.140625" style="1" customWidth="1"/>
    <col min="11269" max="11269" width="22.7109375" style="1" customWidth="1"/>
    <col min="11270" max="11270" width="19.42578125" style="1" customWidth="1"/>
    <col min="11271" max="11271" width="25.140625" style="1" customWidth="1"/>
    <col min="11272" max="11272" width="22.7109375" style="1" customWidth="1"/>
    <col min="11273" max="11520" width="9.140625" style="1"/>
    <col min="11521" max="11521" width="17" style="1" customWidth="1"/>
    <col min="11522" max="11522" width="71.5703125" style="1" customWidth="1"/>
    <col min="11523" max="11523" width="0" style="1" hidden="1" customWidth="1"/>
    <col min="11524" max="11524" width="19.140625" style="1" customWidth="1"/>
    <col min="11525" max="11525" width="22.7109375" style="1" customWidth="1"/>
    <col min="11526" max="11526" width="19.42578125" style="1" customWidth="1"/>
    <col min="11527" max="11527" width="25.140625" style="1" customWidth="1"/>
    <col min="11528" max="11528" width="22.7109375" style="1" customWidth="1"/>
    <col min="11529" max="11776" width="9.140625" style="1"/>
    <col min="11777" max="11777" width="17" style="1" customWidth="1"/>
    <col min="11778" max="11778" width="71.5703125" style="1" customWidth="1"/>
    <col min="11779" max="11779" width="0" style="1" hidden="1" customWidth="1"/>
    <col min="11780" max="11780" width="19.140625" style="1" customWidth="1"/>
    <col min="11781" max="11781" width="22.7109375" style="1" customWidth="1"/>
    <col min="11782" max="11782" width="19.42578125" style="1" customWidth="1"/>
    <col min="11783" max="11783" width="25.140625" style="1" customWidth="1"/>
    <col min="11784" max="11784" width="22.7109375" style="1" customWidth="1"/>
    <col min="11785" max="12032" width="9.140625" style="1"/>
    <col min="12033" max="12033" width="17" style="1" customWidth="1"/>
    <col min="12034" max="12034" width="71.5703125" style="1" customWidth="1"/>
    <col min="12035" max="12035" width="0" style="1" hidden="1" customWidth="1"/>
    <col min="12036" max="12036" width="19.140625" style="1" customWidth="1"/>
    <col min="12037" max="12037" width="22.7109375" style="1" customWidth="1"/>
    <col min="12038" max="12038" width="19.42578125" style="1" customWidth="1"/>
    <col min="12039" max="12039" width="25.140625" style="1" customWidth="1"/>
    <col min="12040" max="12040" width="22.7109375" style="1" customWidth="1"/>
    <col min="12041" max="12288" width="9.140625" style="1"/>
    <col min="12289" max="12289" width="17" style="1" customWidth="1"/>
    <col min="12290" max="12290" width="71.5703125" style="1" customWidth="1"/>
    <col min="12291" max="12291" width="0" style="1" hidden="1" customWidth="1"/>
    <col min="12292" max="12292" width="19.140625" style="1" customWidth="1"/>
    <col min="12293" max="12293" width="22.7109375" style="1" customWidth="1"/>
    <col min="12294" max="12294" width="19.42578125" style="1" customWidth="1"/>
    <col min="12295" max="12295" width="25.140625" style="1" customWidth="1"/>
    <col min="12296" max="12296" width="22.7109375" style="1" customWidth="1"/>
    <col min="12297" max="12544" width="9.140625" style="1"/>
    <col min="12545" max="12545" width="17" style="1" customWidth="1"/>
    <col min="12546" max="12546" width="71.5703125" style="1" customWidth="1"/>
    <col min="12547" max="12547" width="0" style="1" hidden="1" customWidth="1"/>
    <col min="12548" max="12548" width="19.140625" style="1" customWidth="1"/>
    <col min="12549" max="12549" width="22.7109375" style="1" customWidth="1"/>
    <col min="12550" max="12550" width="19.42578125" style="1" customWidth="1"/>
    <col min="12551" max="12551" width="25.140625" style="1" customWidth="1"/>
    <col min="12552" max="12552" width="22.7109375" style="1" customWidth="1"/>
    <col min="12553" max="12800" width="9.140625" style="1"/>
    <col min="12801" max="12801" width="17" style="1" customWidth="1"/>
    <col min="12802" max="12802" width="71.5703125" style="1" customWidth="1"/>
    <col min="12803" max="12803" width="0" style="1" hidden="1" customWidth="1"/>
    <col min="12804" max="12804" width="19.140625" style="1" customWidth="1"/>
    <col min="12805" max="12805" width="22.7109375" style="1" customWidth="1"/>
    <col min="12806" max="12806" width="19.42578125" style="1" customWidth="1"/>
    <col min="12807" max="12807" width="25.140625" style="1" customWidth="1"/>
    <col min="12808" max="12808" width="22.7109375" style="1" customWidth="1"/>
    <col min="12809" max="13056" width="9.140625" style="1"/>
    <col min="13057" max="13057" width="17" style="1" customWidth="1"/>
    <col min="13058" max="13058" width="71.5703125" style="1" customWidth="1"/>
    <col min="13059" max="13059" width="0" style="1" hidden="1" customWidth="1"/>
    <col min="13060" max="13060" width="19.140625" style="1" customWidth="1"/>
    <col min="13061" max="13061" width="22.7109375" style="1" customWidth="1"/>
    <col min="13062" max="13062" width="19.42578125" style="1" customWidth="1"/>
    <col min="13063" max="13063" width="25.140625" style="1" customWidth="1"/>
    <col min="13064" max="13064" width="22.7109375" style="1" customWidth="1"/>
    <col min="13065" max="13312" width="9.140625" style="1"/>
    <col min="13313" max="13313" width="17" style="1" customWidth="1"/>
    <col min="13314" max="13314" width="71.5703125" style="1" customWidth="1"/>
    <col min="13315" max="13315" width="0" style="1" hidden="1" customWidth="1"/>
    <col min="13316" max="13316" width="19.140625" style="1" customWidth="1"/>
    <col min="13317" max="13317" width="22.7109375" style="1" customWidth="1"/>
    <col min="13318" max="13318" width="19.42578125" style="1" customWidth="1"/>
    <col min="13319" max="13319" width="25.140625" style="1" customWidth="1"/>
    <col min="13320" max="13320" width="22.7109375" style="1" customWidth="1"/>
    <col min="13321" max="13568" width="9.140625" style="1"/>
    <col min="13569" max="13569" width="17" style="1" customWidth="1"/>
    <col min="13570" max="13570" width="71.5703125" style="1" customWidth="1"/>
    <col min="13571" max="13571" width="0" style="1" hidden="1" customWidth="1"/>
    <col min="13572" max="13572" width="19.140625" style="1" customWidth="1"/>
    <col min="13573" max="13573" width="22.7109375" style="1" customWidth="1"/>
    <col min="13574" max="13574" width="19.42578125" style="1" customWidth="1"/>
    <col min="13575" max="13575" width="25.140625" style="1" customWidth="1"/>
    <col min="13576" max="13576" width="22.7109375" style="1" customWidth="1"/>
    <col min="13577" max="13824" width="9.140625" style="1"/>
    <col min="13825" max="13825" width="17" style="1" customWidth="1"/>
    <col min="13826" max="13826" width="71.5703125" style="1" customWidth="1"/>
    <col min="13827" max="13827" width="0" style="1" hidden="1" customWidth="1"/>
    <col min="13828" max="13828" width="19.140625" style="1" customWidth="1"/>
    <col min="13829" max="13829" width="22.7109375" style="1" customWidth="1"/>
    <col min="13830" max="13830" width="19.42578125" style="1" customWidth="1"/>
    <col min="13831" max="13831" width="25.140625" style="1" customWidth="1"/>
    <col min="13832" max="13832" width="22.7109375" style="1" customWidth="1"/>
    <col min="13833" max="14080" width="9.140625" style="1"/>
    <col min="14081" max="14081" width="17" style="1" customWidth="1"/>
    <col min="14082" max="14082" width="71.5703125" style="1" customWidth="1"/>
    <col min="14083" max="14083" width="0" style="1" hidden="1" customWidth="1"/>
    <col min="14084" max="14084" width="19.140625" style="1" customWidth="1"/>
    <col min="14085" max="14085" width="22.7109375" style="1" customWidth="1"/>
    <col min="14086" max="14086" width="19.42578125" style="1" customWidth="1"/>
    <col min="14087" max="14087" width="25.140625" style="1" customWidth="1"/>
    <col min="14088" max="14088" width="22.7109375" style="1" customWidth="1"/>
    <col min="14089" max="14336" width="9.140625" style="1"/>
    <col min="14337" max="14337" width="17" style="1" customWidth="1"/>
    <col min="14338" max="14338" width="71.5703125" style="1" customWidth="1"/>
    <col min="14339" max="14339" width="0" style="1" hidden="1" customWidth="1"/>
    <col min="14340" max="14340" width="19.140625" style="1" customWidth="1"/>
    <col min="14341" max="14341" width="22.7109375" style="1" customWidth="1"/>
    <col min="14342" max="14342" width="19.42578125" style="1" customWidth="1"/>
    <col min="14343" max="14343" width="25.140625" style="1" customWidth="1"/>
    <col min="14344" max="14344" width="22.7109375" style="1" customWidth="1"/>
    <col min="14345" max="14592" width="9.140625" style="1"/>
    <col min="14593" max="14593" width="17" style="1" customWidth="1"/>
    <col min="14594" max="14594" width="71.5703125" style="1" customWidth="1"/>
    <col min="14595" max="14595" width="0" style="1" hidden="1" customWidth="1"/>
    <col min="14596" max="14596" width="19.140625" style="1" customWidth="1"/>
    <col min="14597" max="14597" width="22.7109375" style="1" customWidth="1"/>
    <col min="14598" max="14598" width="19.42578125" style="1" customWidth="1"/>
    <col min="14599" max="14599" width="25.140625" style="1" customWidth="1"/>
    <col min="14600" max="14600" width="22.7109375" style="1" customWidth="1"/>
    <col min="14601" max="14848" width="9.140625" style="1"/>
    <col min="14849" max="14849" width="17" style="1" customWidth="1"/>
    <col min="14850" max="14850" width="71.5703125" style="1" customWidth="1"/>
    <col min="14851" max="14851" width="0" style="1" hidden="1" customWidth="1"/>
    <col min="14852" max="14852" width="19.140625" style="1" customWidth="1"/>
    <col min="14853" max="14853" width="22.7109375" style="1" customWidth="1"/>
    <col min="14854" max="14854" width="19.42578125" style="1" customWidth="1"/>
    <col min="14855" max="14855" width="25.140625" style="1" customWidth="1"/>
    <col min="14856" max="14856" width="22.7109375" style="1" customWidth="1"/>
    <col min="14857" max="15104" width="9.140625" style="1"/>
    <col min="15105" max="15105" width="17" style="1" customWidth="1"/>
    <col min="15106" max="15106" width="71.5703125" style="1" customWidth="1"/>
    <col min="15107" max="15107" width="0" style="1" hidden="1" customWidth="1"/>
    <col min="15108" max="15108" width="19.140625" style="1" customWidth="1"/>
    <col min="15109" max="15109" width="22.7109375" style="1" customWidth="1"/>
    <col min="15110" max="15110" width="19.42578125" style="1" customWidth="1"/>
    <col min="15111" max="15111" width="25.140625" style="1" customWidth="1"/>
    <col min="15112" max="15112" width="22.7109375" style="1" customWidth="1"/>
    <col min="15113" max="15360" width="9.140625" style="1"/>
    <col min="15361" max="15361" width="17" style="1" customWidth="1"/>
    <col min="15362" max="15362" width="71.5703125" style="1" customWidth="1"/>
    <col min="15363" max="15363" width="0" style="1" hidden="1" customWidth="1"/>
    <col min="15364" max="15364" width="19.140625" style="1" customWidth="1"/>
    <col min="15365" max="15365" width="22.7109375" style="1" customWidth="1"/>
    <col min="15366" max="15366" width="19.42578125" style="1" customWidth="1"/>
    <col min="15367" max="15367" width="25.140625" style="1" customWidth="1"/>
    <col min="15368" max="15368" width="22.7109375" style="1" customWidth="1"/>
    <col min="15369" max="15616" width="9.140625" style="1"/>
    <col min="15617" max="15617" width="17" style="1" customWidth="1"/>
    <col min="15618" max="15618" width="71.5703125" style="1" customWidth="1"/>
    <col min="15619" max="15619" width="0" style="1" hidden="1" customWidth="1"/>
    <col min="15620" max="15620" width="19.140625" style="1" customWidth="1"/>
    <col min="15621" max="15621" width="22.7109375" style="1" customWidth="1"/>
    <col min="15622" max="15622" width="19.42578125" style="1" customWidth="1"/>
    <col min="15623" max="15623" width="25.140625" style="1" customWidth="1"/>
    <col min="15624" max="15624" width="22.7109375" style="1" customWidth="1"/>
    <col min="15625" max="15872" width="9.140625" style="1"/>
    <col min="15873" max="15873" width="17" style="1" customWidth="1"/>
    <col min="15874" max="15874" width="71.5703125" style="1" customWidth="1"/>
    <col min="15875" max="15875" width="0" style="1" hidden="1" customWidth="1"/>
    <col min="15876" max="15876" width="19.140625" style="1" customWidth="1"/>
    <col min="15877" max="15877" width="22.7109375" style="1" customWidth="1"/>
    <col min="15878" max="15878" width="19.42578125" style="1" customWidth="1"/>
    <col min="15879" max="15879" width="25.140625" style="1" customWidth="1"/>
    <col min="15880" max="15880" width="22.7109375" style="1" customWidth="1"/>
    <col min="15881" max="16128" width="9.140625" style="1"/>
    <col min="16129" max="16129" width="17" style="1" customWidth="1"/>
    <col min="16130" max="16130" width="71.5703125" style="1" customWidth="1"/>
    <col min="16131" max="16131" width="0" style="1" hidden="1" customWidth="1"/>
    <col min="16132" max="16132" width="19.140625" style="1" customWidth="1"/>
    <col min="16133" max="16133" width="22.7109375" style="1" customWidth="1"/>
    <col min="16134" max="16134" width="19.42578125" style="1" customWidth="1"/>
    <col min="16135" max="16135" width="25.140625" style="1" customWidth="1"/>
    <col min="16136" max="16136" width="22.7109375" style="1" customWidth="1"/>
    <col min="16137" max="16384" width="9.140625" style="1"/>
  </cols>
  <sheetData>
    <row r="1" spans="1:12" x14ac:dyDescent="0.3">
      <c r="A1" s="186" t="s">
        <v>0</v>
      </c>
      <c r="B1" s="186"/>
      <c r="C1" s="186"/>
      <c r="D1" s="186"/>
      <c r="G1" s="72"/>
      <c r="H1" s="72">
        <v>950</v>
      </c>
    </row>
    <row r="2" spans="1:12" x14ac:dyDescent="0.3">
      <c r="A2" s="2"/>
      <c r="B2" s="2"/>
      <c r="C2" s="2"/>
      <c r="D2" s="2"/>
      <c r="G2" s="72"/>
      <c r="H2" s="90">
        <v>1687</v>
      </c>
    </row>
    <row r="3" spans="1:12" ht="18.75" customHeight="1" x14ac:dyDescent="0.3">
      <c r="B3" s="3" t="s">
        <v>1</v>
      </c>
      <c r="C3" s="4"/>
      <c r="D3" s="4"/>
      <c r="G3" s="91" t="s">
        <v>16</v>
      </c>
      <c r="H3" s="90">
        <v>3865</v>
      </c>
    </row>
    <row r="4" spans="1:12" ht="18" customHeight="1" x14ac:dyDescent="0.3">
      <c r="A4" s="5"/>
      <c r="B4" s="6" t="s">
        <v>98</v>
      </c>
      <c r="C4" s="5"/>
      <c r="D4" s="5"/>
      <c r="G4" s="91" t="s">
        <v>18</v>
      </c>
      <c r="H4" s="90">
        <v>25</v>
      </c>
    </row>
    <row r="5" spans="1:12" ht="23.25" customHeight="1" x14ac:dyDescent="0.3">
      <c r="A5" s="7"/>
      <c r="B5" s="2" t="s">
        <v>3</v>
      </c>
      <c r="C5" s="7"/>
      <c r="D5" s="7"/>
      <c r="G5" s="72"/>
      <c r="H5" s="90"/>
    </row>
    <row r="6" spans="1:12" s="12" customFormat="1" ht="15.75" x14ac:dyDescent="0.25">
      <c r="A6" s="26"/>
      <c r="B6" s="27"/>
      <c r="C6" s="28"/>
      <c r="D6" s="28"/>
      <c r="E6" s="72"/>
      <c r="F6" s="72"/>
      <c r="G6" s="91" t="s">
        <v>21</v>
      </c>
      <c r="H6" s="92">
        <f>H4/H2</f>
        <v>1.4819205690574985E-2</v>
      </c>
      <c r="I6" s="72"/>
      <c r="J6" s="72"/>
      <c r="K6" s="72"/>
      <c r="L6" s="72"/>
    </row>
    <row r="7" spans="1:12" s="12" customFormat="1" ht="136.5" customHeight="1" x14ac:dyDescent="0.25">
      <c r="A7" s="29" t="s">
        <v>12</v>
      </c>
      <c r="B7" s="30" t="s">
        <v>5</v>
      </c>
      <c r="C7" s="30" t="s">
        <v>6</v>
      </c>
      <c r="D7" s="30" t="s">
        <v>13</v>
      </c>
      <c r="E7" s="72"/>
      <c r="F7" s="72"/>
      <c r="G7" s="72"/>
      <c r="H7" s="72"/>
      <c r="I7" s="72"/>
      <c r="J7" s="72"/>
      <c r="K7" s="72"/>
      <c r="L7" s="72"/>
    </row>
    <row r="8" spans="1:12" s="12" customFormat="1" ht="23.25" customHeight="1" x14ac:dyDescent="0.25">
      <c r="A8" s="31"/>
      <c r="B8" s="32" t="s">
        <v>14</v>
      </c>
      <c r="C8" s="32"/>
      <c r="D8" s="33"/>
      <c r="E8" s="72"/>
      <c r="F8" s="72"/>
      <c r="G8" s="72"/>
      <c r="H8" s="72"/>
      <c r="I8" s="72"/>
      <c r="J8" s="72"/>
      <c r="K8" s="72"/>
      <c r="L8" s="72"/>
    </row>
    <row r="9" spans="1:12" s="12" customFormat="1" ht="15.75" x14ac:dyDescent="0.25">
      <c r="A9" s="34"/>
      <c r="B9" s="35" t="s">
        <v>66</v>
      </c>
      <c r="C9" s="36" t="e">
        <f>#REF!</f>
        <v>#REF!</v>
      </c>
      <c r="D9" s="37">
        <f>SUM(D10:D10)</f>
        <v>60</v>
      </c>
      <c r="E9" s="72"/>
      <c r="F9" s="72"/>
      <c r="G9" s="72"/>
      <c r="H9" s="72"/>
      <c r="I9" s="72"/>
      <c r="J9" s="72"/>
      <c r="K9" s="72"/>
      <c r="L9" s="72"/>
    </row>
    <row r="10" spans="1:12" s="12" customFormat="1" ht="15.75" x14ac:dyDescent="0.25">
      <c r="A10" s="38">
        <v>2312</v>
      </c>
      <c r="B10" s="39" t="s">
        <v>66</v>
      </c>
      <c r="C10" s="40"/>
      <c r="D10" s="41">
        <v>60</v>
      </c>
      <c r="E10" s="72" t="s">
        <v>99</v>
      </c>
      <c r="F10" s="72"/>
      <c r="G10" s="72">
        <v>950</v>
      </c>
      <c r="H10" s="72"/>
      <c r="I10" s="72"/>
      <c r="J10" s="72"/>
      <c r="K10" s="72"/>
      <c r="L10" s="72"/>
    </row>
    <row r="11" spans="1:12" s="12" customFormat="1" ht="28.5" customHeight="1" x14ac:dyDescent="0.25">
      <c r="A11" s="48"/>
      <c r="B11" s="49" t="s">
        <v>27</v>
      </c>
      <c r="C11" s="50" t="e">
        <f>C9+#REF!+#REF!+#REF!+#REF!+#REF!+#REF!+#REF!</f>
        <v>#REF!</v>
      </c>
      <c r="D11" s="51">
        <f>D9</f>
        <v>60</v>
      </c>
      <c r="E11" s="72"/>
      <c r="F11" s="91" t="s">
        <v>16</v>
      </c>
      <c r="G11" s="90">
        <v>3865</v>
      </c>
      <c r="H11" s="72"/>
      <c r="I11" s="72"/>
      <c r="J11" s="72"/>
      <c r="K11" s="72"/>
      <c r="L11" s="72"/>
    </row>
    <row r="12" spans="1:12" s="89" customFormat="1" ht="28.5" customHeight="1" x14ac:dyDescent="0.25">
      <c r="A12" s="103"/>
      <c r="B12" s="104" t="s">
        <v>28</v>
      </c>
      <c r="C12" s="36"/>
      <c r="D12" s="105"/>
      <c r="E12" s="72"/>
      <c r="F12" s="91" t="s">
        <v>18</v>
      </c>
      <c r="G12" s="90">
        <v>9.6999999999999993</v>
      </c>
      <c r="H12" s="72"/>
      <c r="I12" s="72"/>
      <c r="J12" s="72"/>
      <c r="K12" s="72"/>
      <c r="L12" s="72"/>
    </row>
    <row r="13" spans="1:12" s="89" customFormat="1" ht="19.5" customHeight="1" x14ac:dyDescent="0.25">
      <c r="A13" s="34">
        <v>1100</v>
      </c>
      <c r="B13" s="35" t="s">
        <v>15</v>
      </c>
      <c r="C13" s="36"/>
      <c r="D13" s="105">
        <f>D14+D15+D16</f>
        <v>296.19795039999997</v>
      </c>
      <c r="E13" s="72"/>
      <c r="F13" s="91" t="s">
        <v>21</v>
      </c>
      <c r="G13" s="92">
        <f>G12/G11</f>
        <v>2.5097024579560155E-3</v>
      </c>
      <c r="H13" s="72"/>
      <c r="I13" s="72"/>
      <c r="J13" s="72"/>
      <c r="K13" s="72"/>
      <c r="L13" s="72"/>
    </row>
    <row r="14" spans="1:12" s="89" customFormat="1" ht="19.5" customHeight="1" x14ac:dyDescent="0.25">
      <c r="A14" s="38">
        <v>1100</v>
      </c>
      <c r="B14" s="39" t="s">
        <v>100</v>
      </c>
      <c r="C14" s="36"/>
      <c r="D14" s="41">
        <f>462*2*12*0.01+4</f>
        <v>114.88</v>
      </c>
      <c r="E14" s="72"/>
      <c r="F14" s="91"/>
      <c r="G14" s="90"/>
      <c r="H14" s="72"/>
      <c r="I14" s="72"/>
      <c r="J14" s="72"/>
      <c r="K14" s="72"/>
      <c r="L14" s="72"/>
    </row>
    <row r="15" spans="1:12" s="89" customFormat="1" ht="19.5" customHeight="1" x14ac:dyDescent="0.25">
      <c r="A15" s="38">
        <v>1100</v>
      </c>
      <c r="B15" s="39" t="s">
        <v>72</v>
      </c>
      <c r="C15" s="36"/>
      <c r="D15" s="41">
        <f>(1244)*12*0.005+12</f>
        <v>86.64</v>
      </c>
      <c r="E15" s="72"/>
      <c r="F15" s="91"/>
      <c r="G15" s="90"/>
      <c r="H15" s="72"/>
      <c r="I15" s="72"/>
      <c r="J15" s="72"/>
      <c r="K15" s="72"/>
      <c r="L15" s="72"/>
    </row>
    <row r="16" spans="1:12" s="89" customFormat="1" ht="19.5" customHeight="1" x14ac:dyDescent="0.25">
      <c r="A16" s="38">
        <v>1100</v>
      </c>
      <c r="B16" s="39" t="s">
        <v>101</v>
      </c>
      <c r="C16" s="36"/>
      <c r="D16" s="41">
        <f>731*12*0.0107932</f>
        <v>94.6779504</v>
      </c>
      <c r="E16" s="72"/>
      <c r="F16" s="91"/>
      <c r="G16" s="90"/>
      <c r="H16" s="72"/>
      <c r="I16" s="72"/>
      <c r="J16" s="72"/>
      <c r="K16" s="72"/>
      <c r="L16" s="72"/>
    </row>
    <row r="17" spans="1:12" s="89" customFormat="1" ht="19.5" customHeight="1" x14ac:dyDescent="0.25">
      <c r="A17" s="34">
        <v>1200</v>
      </c>
      <c r="B17" s="35" t="s">
        <v>20</v>
      </c>
      <c r="C17" s="36"/>
      <c r="D17" s="42">
        <f>ROUND(D13*0.2409,0)</f>
        <v>71</v>
      </c>
      <c r="E17" s="72"/>
      <c r="F17" s="91"/>
      <c r="G17" s="90"/>
      <c r="H17" s="72"/>
      <c r="I17" s="72"/>
      <c r="J17" s="72"/>
      <c r="K17" s="72"/>
      <c r="L17" s="72"/>
    </row>
    <row r="18" spans="1:12" s="89" customFormat="1" ht="19.5" customHeight="1" x14ac:dyDescent="0.25">
      <c r="A18" s="34">
        <v>2200</v>
      </c>
      <c r="B18" s="43" t="s">
        <v>23</v>
      </c>
      <c r="C18" s="36"/>
      <c r="D18" s="42">
        <f>D19+D20+D21</f>
        <v>380.14805000000001</v>
      </c>
      <c r="E18" s="72"/>
      <c r="F18" s="91"/>
      <c r="G18" s="90"/>
      <c r="H18" s="72"/>
      <c r="I18" s="72"/>
      <c r="J18" s="72"/>
      <c r="K18" s="72"/>
      <c r="L18" s="72"/>
    </row>
    <row r="19" spans="1:12" s="89" customFormat="1" ht="19.5" customHeight="1" x14ac:dyDescent="0.25">
      <c r="A19" s="44">
        <v>2210</v>
      </c>
      <c r="B19" s="44" t="s">
        <v>102</v>
      </c>
      <c r="C19" s="36"/>
      <c r="D19" s="41">
        <f>[2]Tame!C44*0.01</f>
        <v>18.319899999999997</v>
      </c>
      <c r="E19" s="72"/>
      <c r="F19" s="91"/>
      <c r="G19" s="90"/>
      <c r="H19" s="72"/>
      <c r="I19" s="72"/>
      <c r="J19" s="72"/>
      <c r="K19" s="72"/>
      <c r="L19" s="72"/>
    </row>
    <row r="20" spans="1:12" s="89" customFormat="1" ht="19.5" customHeight="1" x14ac:dyDescent="0.25">
      <c r="A20" s="44">
        <v>2220</v>
      </c>
      <c r="B20" s="45" t="s">
        <v>103</v>
      </c>
      <c r="C20" s="36"/>
      <c r="D20" s="41">
        <f>[2]Tame!C47*0.01</f>
        <v>183.35599999999999</v>
      </c>
      <c r="E20" s="72"/>
      <c r="F20" s="91"/>
      <c r="G20" s="90"/>
      <c r="H20" s="72"/>
      <c r="I20" s="72"/>
      <c r="J20" s="72"/>
      <c r="K20" s="72"/>
      <c r="L20" s="72"/>
    </row>
    <row r="21" spans="1:12" s="89" customFormat="1" ht="19.5" customHeight="1" x14ac:dyDescent="0.25">
      <c r="A21" s="46">
        <v>2240</v>
      </c>
      <c r="B21" s="46" t="s">
        <v>25</v>
      </c>
      <c r="C21" s="36"/>
      <c r="D21" s="41">
        <f>[2]Tame!C57*0.005</f>
        <v>178.47215</v>
      </c>
      <c r="E21" s="72"/>
      <c r="F21" s="72"/>
      <c r="G21" s="72"/>
      <c r="H21" s="72"/>
      <c r="I21" s="72"/>
      <c r="J21" s="72"/>
      <c r="K21" s="72"/>
      <c r="L21" s="72"/>
    </row>
    <row r="22" spans="1:12" s="89" customFormat="1" ht="19.5" customHeight="1" x14ac:dyDescent="0.25">
      <c r="A22" s="34">
        <v>2300</v>
      </c>
      <c r="B22" s="43" t="s">
        <v>33</v>
      </c>
      <c r="C22" s="36"/>
      <c r="D22" s="42">
        <f>D23+D24+D25+D26+D27</f>
        <v>18.124895472186289</v>
      </c>
      <c r="E22" s="72"/>
      <c r="F22" s="91"/>
      <c r="G22" s="90"/>
      <c r="H22" s="72"/>
      <c r="I22" s="72"/>
      <c r="J22" s="72"/>
      <c r="K22" s="72"/>
      <c r="L22" s="72"/>
    </row>
    <row r="23" spans="1:12" s="89" customFormat="1" ht="19.5" customHeight="1" x14ac:dyDescent="0.25">
      <c r="A23" s="44">
        <v>2320</v>
      </c>
      <c r="B23" s="45" t="s">
        <v>35</v>
      </c>
      <c r="C23" s="36"/>
      <c r="D23" s="41">
        <v>0</v>
      </c>
      <c r="E23" s="72"/>
      <c r="F23" s="91"/>
      <c r="G23" s="90"/>
      <c r="H23" s="72"/>
      <c r="I23" s="72"/>
      <c r="J23" s="72"/>
      <c r="K23" s="72"/>
      <c r="L23" s="72"/>
    </row>
    <row r="24" spans="1:12" s="89" customFormat="1" ht="19.5" customHeight="1" x14ac:dyDescent="0.25">
      <c r="A24" s="46">
        <v>2340</v>
      </c>
      <c r="B24" s="54" t="s">
        <v>36</v>
      </c>
      <c r="C24" s="36"/>
      <c r="D24" s="41">
        <f>[2]Tame!C73*G13</f>
        <v>0.12362794307891332</v>
      </c>
      <c r="E24" s="72"/>
      <c r="F24" s="91"/>
      <c r="G24" s="90"/>
      <c r="H24" s="72"/>
      <c r="I24" s="72"/>
      <c r="J24" s="72"/>
      <c r="K24" s="72"/>
      <c r="L24" s="72"/>
    </row>
    <row r="25" spans="1:12" s="89" customFormat="1" ht="19.5" customHeight="1" x14ac:dyDescent="0.25">
      <c r="A25" s="44">
        <v>2350</v>
      </c>
      <c r="B25" s="44" t="s">
        <v>37</v>
      </c>
      <c r="C25" s="36"/>
      <c r="D25" s="41">
        <f>[2]Tame!C75*G13</f>
        <v>13.288924708926261</v>
      </c>
      <c r="E25" s="72"/>
      <c r="F25" s="91"/>
      <c r="G25" s="90"/>
      <c r="H25" s="72"/>
      <c r="I25" s="72"/>
      <c r="J25" s="72"/>
      <c r="K25" s="72"/>
      <c r="L25" s="72"/>
    </row>
    <row r="26" spans="1:12" s="89" customFormat="1" ht="19.5" customHeight="1" x14ac:dyDescent="0.25">
      <c r="A26" s="44">
        <v>2390</v>
      </c>
      <c r="B26" s="44" t="s">
        <v>77</v>
      </c>
      <c r="C26" s="36"/>
      <c r="D26" s="41">
        <f>[2]Tame!C76*G13</f>
        <v>4.7123428201811128</v>
      </c>
      <c r="E26" s="72"/>
      <c r="F26" s="91"/>
      <c r="G26" s="90"/>
      <c r="H26" s="72"/>
      <c r="I26" s="72"/>
      <c r="J26" s="72"/>
      <c r="K26" s="72"/>
      <c r="L26" s="72"/>
    </row>
    <row r="27" spans="1:12" s="89" customFormat="1" ht="19.5" customHeight="1" x14ac:dyDescent="0.25">
      <c r="A27" s="44"/>
      <c r="B27" s="44" t="s">
        <v>38</v>
      </c>
      <c r="C27" s="36"/>
      <c r="D27" s="41"/>
      <c r="E27" s="72"/>
      <c r="F27" s="91"/>
      <c r="G27" s="90"/>
      <c r="H27" s="72"/>
      <c r="I27" s="72"/>
      <c r="J27" s="72"/>
      <c r="K27" s="72"/>
      <c r="L27" s="72"/>
    </row>
    <row r="28" spans="1:12" s="12" customFormat="1" ht="28.5" customHeight="1" x14ac:dyDescent="0.25">
      <c r="A28" s="52"/>
      <c r="B28" s="49" t="s">
        <v>79</v>
      </c>
      <c r="C28" s="53"/>
      <c r="D28" s="51">
        <f>D13+D17+D18+D22</f>
        <v>765.47089587218625</v>
      </c>
      <c r="E28" s="72"/>
      <c r="F28" s="91"/>
      <c r="G28" s="90"/>
      <c r="H28" s="72"/>
      <c r="I28" s="72"/>
      <c r="J28" s="72"/>
      <c r="K28" s="72"/>
      <c r="L28" s="72"/>
    </row>
    <row r="29" spans="1:12" s="12" customFormat="1" ht="28.5" customHeight="1" x14ac:dyDescent="0.25">
      <c r="A29" s="52"/>
      <c r="B29" s="48" t="s">
        <v>39</v>
      </c>
      <c r="C29" s="53"/>
      <c r="D29" s="51">
        <f>D11+D28</f>
        <v>825.47089587218625</v>
      </c>
      <c r="E29" s="72"/>
      <c r="F29" s="72"/>
      <c r="G29" s="90"/>
      <c r="H29" s="72"/>
      <c r="I29" s="72"/>
      <c r="J29" s="72"/>
      <c r="K29" s="72"/>
      <c r="L29" s="72"/>
    </row>
    <row r="30" spans="1:12" s="12" customFormat="1" ht="28.5" customHeight="1" x14ac:dyDescent="0.25">
      <c r="A30" s="52"/>
      <c r="B30" s="48" t="s">
        <v>40</v>
      </c>
      <c r="C30" s="53"/>
      <c r="D30" s="50">
        <f>(D29)/D32+0.02</f>
        <v>20.656772396804655</v>
      </c>
      <c r="E30" s="72"/>
      <c r="F30" s="72"/>
      <c r="G30" s="72"/>
      <c r="H30" s="72"/>
      <c r="I30" s="72"/>
      <c r="J30" s="72"/>
      <c r="K30" s="72"/>
      <c r="L30" s="72"/>
    </row>
    <row r="31" spans="1:12" s="12" customFormat="1" ht="28.5" customHeight="1" x14ac:dyDescent="0.25">
      <c r="A31" s="52"/>
      <c r="B31" s="48" t="s">
        <v>41</v>
      </c>
      <c r="C31" s="53"/>
      <c r="D31" s="50">
        <f>D30*1.21</f>
        <v>24.994694600133631</v>
      </c>
      <c r="E31" s="72"/>
      <c r="F31" s="72"/>
      <c r="G31" s="72"/>
      <c r="H31" s="72"/>
      <c r="I31" s="72"/>
      <c r="J31" s="72"/>
      <c r="K31" s="72"/>
      <c r="L31" s="72"/>
    </row>
    <row r="32" spans="1:12" s="12" customFormat="1" ht="28.5" customHeight="1" x14ac:dyDescent="0.25">
      <c r="A32" s="187" t="s">
        <v>84</v>
      </c>
      <c r="B32" s="188"/>
      <c r="C32" s="37">
        <v>574</v>
      </c>
      <c r="D32" s="55">
        <v>40</v>
      </c>
      <c r="E32" s="71" t="s">
        <v>80</v>
      </c>
      <c r="F32" s="71" t="s">
        <v>104</v>
      </c>
      <c r="G32" s="106">
        <f>G12/G10</f>
        <v>1.0210526315789474E-2</v>
      </c>
      <c r="H32" s="72"/>
      <c r="I32" s="72"/>
      <c r="J32" s="72"/>
      <c r="K32" s="72">
        <f>35*40</f>
        <v>1400</v>
      </c>
      <c r="L32" s="72"/>
    </row>
    <row r="33" spans="1:12" ht="28.5" customHeight="1" x14ac:dyDescent="0.3">
      <c r="A33" s="179" t="s">
        <v>105</v>
      </c>
      <c r="B33" s="180"/>
      <c r="C33" s="56"/>
      <c r="D33" s="57">
        <f>D32*F33</f>
        <v>826.44628099173565</v>
      </c>
      <c r="E33" s="98">
        <f>E34/121*100</f>
        <v>19.421487603305785</v>
      </c>
      <c r="F33" s="99">
        <f>F34/121*100</f>
        <v>20.66115702479339</v>
      </c>
      <c r="G33" s="72"/>
      <c r="H33" s="72"/>
    </row>
    <row r="34" spans="1:12" ht="28.5" customHeight="1" x14ac:dyDescent="0.3">
      <c r="A34" s="181" t="s">
        <v>55</v>
      </c>
      <c r="B34" s="182"/>
      <c r="C34" s="53"/>
      <c r="D34" s="51">
        <f>D33</f>
        <v>826.44628099173565</v>
      </c>
      <c r="E34" s="98">
        <v>23.5</v>
      </c>
      <c r="F34" s="99">
        <v>25</v>
      </c>
      <c r="G34" s="72"/>
      <c r="H34" s="72"/>
    </row>
    <row r="35" spans="1:12" s="59" customFormat="1" x14ac:dyDescent="0.3">
      <c r="B35" s="183" t="s">
        <v>96</v>
      </c>
      <c r="C35" s="183"/>
      <c r="D35" s="60">
        <f>D34-D29</f>
        <v>0.97538511954940077</v>
      </c>
      <c r="E35" s="72"/>
      <c r="F35" s="72" t="s">
        <v>106</v>
      </c>
      <c r="G35" s="72"/>
      <c r="H35" s="72"/>
      <c r="I35" s="65"/>
      <c r="J35" s="65"/>
      <c r="K35" s="65"/>
      <c r="L35" s="65"/>
    </row>
    <row r="36" spans="1:12" s="59" customFormat="1" x14ac:dyDescent="0.3">
      <c r="B36" s="102" t="s">
        <v>107</v>
      </c>
      <c r="C36" s="102"/>
      <c r="D36" s="60">
        <f>D32*E33-D29</f>
        <v>-48.611391739954797</v>
      </c>
      <c r="E36" s="72"/>
      <c r="F36" s="72"/>
      <c r="G36" s="72"/>
      <c r="H36" s="72"/>
      <c r="I36" s="65"/>
      <c r="J36" s="65"/>
      <c r="K36" s="65"/>
      <c r="L36" s="65"/>
    </row>
    <row r="37" spans="1:12" s="12" customFormat="1" ht="16.5" customHeight="1" x14ac:dyDescent="0.25">
      <c r="A37" s="26"/>
      <c r="B37" s="26"/>
      <c r="C37" s="87"/>
      <c r="D37" s="88"/>
      <c r="E37" s="72"/>
      <c r="F37" s="72"/>
      <c r="G37" s="72"/>
      <c r="H37" s="72"/>
      <c r="I37" s="72"/>
      <c r="J37" s="72"/>
      <c r="K37" s="72"/>
      <c r="L37" s="72"/>
    </row>
    <row r="38" spans="1:12" x14ac:dyDescent="0.3">
      <c r="A38" s="1" t="s">
        <v>59</v>
      </c>
    </row>
  </sheetData>
  <mergeCells count="5">
    <mergeCell ref="A1:D1"/>
    <mergeCell ref="A32:B32"/>
    <mergeCell ref="A33:B33"/>
    <mergeCell ref="A34:B34"/>
    <mergeCell ref="B35:C35"/>
  </mergeCells>
  <printOptions horizontalCentered="1"/>
  <pageMargins left="0.74803149606299213" right="0.74803149606299213" top="0.78740157480314965" bottom="0.59055118110236227" header="0" footer="0"/>
  <pageSetup paperSize="9" scale="66" orientation="portrait" r:id="rId1"/>
  <headerFooter alignWithMargins="0"/>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4FCA-D91C-40B3-AD46-D4D94157749A}">
  <sheetPr>
    <tabColor rgb="FF92D050"/>
  </sheetPr>
  <dimension ref="A1:R89"/>
  <sheetViews>
    <sheetView topLeftCell="A29" zoomScaleNormal="100" workbookViewId="0">
      <selection activeCell="A59" sqref="A59"/>
    </sheetView>
  </sheetViews>
  <sheetFormatPr defaultRowHeight="15" x14ac:dyDescent="0.25"/>
  <cols>
    <col min="1" max="1" width="14.85546875" style="108" customWidth="1"/>
    <col min="2" max="2" width="12.85546875" style="108" bestFit="1" customWidth="1"/>
    <col min="3" max="3" width="10.42578125" style="108" bestFit="1" customWidth="1"/>
    <col min="4" max="4" width="26.7109375" style="108" customWidth="1"/>
    <col min="5" max="6" width="9.140625" style="108"/>
    <col min="7" max="7" width="11.7109375" style="108" customWidth="1"/>
    <col min="8" max="10" width="9.140625" style="108"/>
    <col min="11" max="11" width="9.42578125" style="108" bestFit="1" customWidth="1"/>
    <col min="12" max="12" width="9.28515625" style="108" bestFit="1" customWidth="1"/>
    <col min="13" max="13" width="17" style="108" customWidth="1"/>
    <col min="14" max="14" width="9.42578125" style="108" bestFit="1" customWidth="1"/>
    <col min="15" max="16" width="9.140625" style="108"/>
    <col min="17" max="17" width="12" style="108" customWidth="1"/>
    <col min="18" max="18" width="10.7109375" style="108" customWidth="1"/>
    <col min="19" max="256" width="9.140625" style="108"/>
    <col min="257" max="257" width="14.85546875" style="108" customWidth="1"/>
    <col min="258" max="258" width="12.85546875" style="108" bestFit="1" customWidth="1"/>
    <col min="259" max="259" width="10.42578125" style="108" bestFit="1" customWidth="1"/>
    <col min="260" max="260" width="26.7109375" style="108" customWidth="1"/>
    <col min="261" max="262" width="9.140625" style="108"/>
    <col min="263" max="263" width="11.7109375" style="108" customWidth="1"/>
    <col min="264" max="266" width="9.140625" style="108"/>
    <col min="267" max="267" width="9.42578125" style="108" bestFit="1" customWidth="1"/>
    <col min="268" max="268" width="9.28515625" style="108" bestFit="1" customWidth="1"/>
    <col min="269" max="269" width="17" style="108" customWidth="1"/>
    <col min="270" max="270" width="9.42578125" style="108" bestFit="1" customWidth="1"/>
    <col min="271" max="272" width="9.140625" style="108"/>
    <col min="273" max="273" width="12" style="108" customWidth="1"/>
    <col min="274" max="274" width="10.7109375" style="108" customWidth="1"/>
    <col min="275" max="512" width="9.140625" style="108"/>
    <col min="513" max="513" width="14.85546875" style="108" customWidth="1"/>
    <col min="514" max="514" width="12.85546875" style="108" bestFit="1" customWidth="1"/>
    <col min="515" max="515" width="10.42578125" style="108" bestFit="1" customWidth="1"/>
    <col min="516" max="516" width="26.7109375" style="108" customWidth="1"/>
    <col min="517" max="518" width="9.140625" style="108"/>
    <col min="519" max="519" width="11.7109375" style="108" customWidth="1"/>
    <col min="520" max="522" width="9.140625" style="108"/>
    <col min="523" max="523" width="9.42578125" style="108" bestFit="1" customWidth="1"/>
    <col min="524" max="524" width="9.28515625" style="108" bestFit="1" customWidth="1"/>
    <col min="525" max="525" width="17" style="108" customWidth="1"/>
    <col min="526" max="526" width="9.42578125" style="108" bestFit="1" customWidth="1"/>
    <col min="527" max="528" width="9.140625" style="108"/>
    <col min="529" max="529" width="12" style="108" customWidth="1"/>
    <col min="530" max="530" width="10.7109375" style="108" customWidth="1"/>
    <col min="531" max="768" width="9.140625" style="108"/>
    <col min="769" max="769" width="14.85546875" style="108" customWidth="1"/>
    <col min="770" max="770" width="12.85546875" style="108" bestFit="1" customWidth="1"/>
    <col min="771" max="771" width="10.42578125" style="108" bestFit="1" customWidth="1"/>
    <col min="772" max="772" width="26.7109375" style="108" customWidth="1"/>
    <col min="773" max="774" width="9.140625" style="108"/>
    <col min="775" max="775" width="11.7109375" style="108" customWidth="1"/>
    <col min="776" max="778" width="9.140625" style="108"/>
    <col min="779" max="779" width="9.42578125" style="108" bestFit="1" customWidth="1"/>
    <col min="780" max="780" width="9.28515625" style="108" bestFit="1" customWidth="1"/>
    <col min="781" max="781" width="17" style="108" customWidth="1"/>
    <col min="782" max="782" width="9.42578125" style="108" bestFit="1" customWidth="1"/>
    <col min="783" max="784" width="9.140625" style="108"/>
    <col min="785" max="785" width="12" style="108" customWidth="1"/>
    <col min="786" max="786" width="10.7109375" style="108" customWidth="1"/>
    <col min="787" max="1024" width="9.140625" style="108"/>
    <col min="1025" max="1025" width="14.85546875" style="108" customWidth="1"/>
    <col min="1026" max="1026" width="12.85546875" style="108" bestFit="1" customWidth="1"/>
    <col min="1027" max="1027" width="10.42578125" style="108" bestFit="1" customWidth="1"/>
    <col min="1028" max="1028" width="26.7109375" style="108" customWidth="1"/>
    <col min="1029" max="1030" width="9.140625" style="108"/>
    <col min="1031" max="1031" width="11.7109375" style="108" customWidth="1"/>
    <col min="1032" max="1034" width="9.140625" style="108"/>
    <col min="1035" max="1035" width="9.42578125" style="108" bestFit="1" customWidth="1"/>
    <col min="1036" max="1036" width="9.28515625" style="108" bestFit="1" customWidth="1"/>
    <col min="1037" max="1037" width="17" style="108" customWidth="1"/>
    <col min="1038" max="1038" width="9.42578125" style="108" bestFit="1" customWidth="1"/>
    <col min="1039" max="1040" width="9.140625" style="108"/>
    <col min="1041" max="1041" width="12" style="108" customWidth="1"/>
    <col min="1042" max="1042" width="10.7109375" style="108" customWidth="1"/>
    <col min="1043" max="1280" width="9.140625" style="108"/>
    <col min="1281" max="1281" width="14.85546875" style="108" customWidth="1"/>
    <col min="1282" max="1282" width="12.85546875" style="108" bestFit="1" customWidth="1"/>
    <col min="1283" max="1283" width="10.42578125" style="108" bestFit="1" customWidth="1"/>
    <col min="1284" max="1284" width="26.7109375" style="108" customWidth="1"/>
    <col min="1285" max="1286" width="9.140625" style="108"/>
    <col min="1287" max="1287" width="11.7109375" style="108" customWidth="1"/>
    <col min="1288" max="1290" width="9.140625" style="108"/>
    <col min="1291" max="1291" width="9.42578125" style="108" bestFit="1" customWidth="1"/>
    <col min="1292" max="1292" width="9.28515625" style="108" bestFit="1" customWidth="1"/>
    <col min="1293" max="1293" width="17" style="108" customWidth="1"/>
    <col min="1294" max="1294" width="9.42578125" style="108" bestFit="1" customWidth="1"/>
    <col min="1295" max="1296" width="9.140625" style="108"/>
    <col min="1297" max="1297" width="12" style="108" customWidth="1"/>
    <col min="1298" max="1298" width="10.7109375" style="108" customWidth="1"/>
    <col min="1299" max="1536" width="9.140625" style="108"/>
    <col min="1537" max="1537" width="14.85546875" style="108" customWidth="1"/>
    <col min="1538" max="1538" width="12.85546875" style="108" bestFit="1" customWidth="1"/>
    <col min="1539" max="1539" width="10.42578125" style="108" bestFit="1" customWidth="1"/>
    <col min="1540" max="1540" width="26.7109375" style="108" customWidth="1"/>
    <col min="1541" max="1542" width="9.140625" style="108"/>
    <col min="1543" max="1543" width="11.7109375" style="108" customWidth="1"/>
    <col min="1544" max="1546" width="9.140625" style="108"/>
    <col min="1547" max="1547" width="9.42578125" style="108" bestFit="1" customWidth="1"/>
    <col min="1548" max="1548" width="9.28515625" style="108" bestFit="1" customWidth="1"/>
    <col min="1549" max="1549" width="17" style="108" customWidth="1"/>
    <col min="1550" max="1550" width="9.42578125" style="108" bestFit="1" customWidth="1"/>
    <col min="1551" max="1552" width="9.140625" style="108"/>
    <col min="1553" max="1553" width="12" style="108" customWidth="1"/>
    <col min="1554" max="1554" width="10.7109375" style="108" customWidth="1"/>
    <col min="1555" max="1792" width="9.140625" style="108"/>
    <col min="1793" max="1793" width="14.85546875" style="108" customWidth="1"/>
    <col min="1794" max="1794" width="12.85546875" style="108" bestFit="1" customWidth="1"/>
    <col min="1795" max="1795" width="10.42578125" style="108" bestFit="1" customWidth="1"/>
    <col min="1796" max="1796" width="26.7109375" style="108" customWidth="1"/>
    <col min="1797" max="1798" width="9.140625" style="108"/>
    <col min="1799" max="1799" width="11.7109375" style="108" customWidth="1"/>
    <col min="1800" max="1802" width="9.140625" style="108"/>
    <col min="1803" max="1803" width="9.42578125" style="108" bestFit="1" customWidth="1"/>
    <col min="1804" max="1804" width="9.28515625" style="108" bestFit="1" customWidth="1"/>
    <col min="1805" max="1805" width="17" style="108" customWidth="1"/>
    <col min="1806" max="1806" width="9.42578125" style="108" bestFit="1" customWidth="1"/>
    <col min="1807" max="1808" width="9.140625" style="108"/>
    <col min="1809" max="1809" width="12" style="108" customWidth="1"/>
    <col min="1810" max="1810" width="10.7109375" style="108" customWidth="1"/>
    <col min="1811" max="2048" width="9.140625" style="108"/>
    <col min="2049" max="2049" width="14.85546875" style="108" customWidth="1"/>
    <col min="2050" max="2050" width="12.85546875" style="108" bestFit="1" customWidth="1"/>
    <col min="2051" max="2051" width="10.42578125" style="108" bestFit="1" customWidth="1"/>
    <col min="2052" max="2052" width="26.7109375" style="108" customWidth="1"/>
    <col min="2053" max="2054" width="9.140625" style="108"/>
    <col min="2055" max="2055" width="11.7109375" style="108" customWidth="1"/>
    <col min="2056" max="2058" width="9.140625" style="108"/>
    <col min="2059" max="2059" width="9.42578125" style="108" bestFit="1" customWidth="1"/>
    <col min="2060" max="2060" width="9.28515625" style="108" bestFit="1" customWidth="1"/>
    <col min="2061" max="2061" width="17" style="108" customWidth="1"/>
    <col min="2062" max="2062" width="9.42578125" style="108" bestFit="1" customWidth="1"/>
    <col min="2063" max="2064" width="9.140625" style="108"/>
    <col min="2065" max="2065" width="12" style="108" customWidth="1"/>
    <col min="2066" max="2066" width="10.7109375" style="108" customWidth="1"/>
    <col min="2067" max="2304" width="9.140625" style="108"/>
    <col min="2305" max="2305" width="14.85546875" style="108" customWidth="1"/>
    <col min="2306" max="2306" width="12.85546875" style="108" bestFit="1" customWidth="1"/>
    <col min="2307" max="2307" width="10.42578125" style="108" bestFit="1" customWidth="1"/>
    <col min="2308" max="2308" width="26.7109375" style="108" customWidth="1"/>
    <col min="2309" max="2310" width="9.140625" style="108"/>
    <col min="2311" max="2311" width="11.7109375" style="108" customWidth="1"/>
    <col min="2312" max="2314" width="9.140625" style="108"/>
    <col min="2315" max="2315" width="9.42578125" style="108" bestFit="1" customWidth="1"/>
    <col min="2316" max="2316" width="9.28515625" style="108" bestFit="1" customWidth="1"/>
    <col min="2317" max="2317" width="17" style="108" customWidth="1"/>
    <col min="2318" max="2318" width="9.42578125" style="108" bestFit="1" customWidth="1"/>
    <col min="2319" max="2320" width="9.140625" style="108"/>
    <col min="2321" max="2321" width="12" style="108" customWidth="1"/>
    <col min="2322" max="2322" width="10.7109375" style="108" customWidth="1"/>
    <col min="2323" max="2560" width="9.140625" style="108"/>
    <col min="2561" max="2561" width="14.85546875" style="108" customWidth="1"/>
    <col min="2562" max="2562" width="12.85546875" style="108" bestFit="1" customWidth="1"/>
    <col min="2563" max="2563" width="10.42578125" style="108" bestFit="1" customWidth="1"/>
    <col min="2564" max="2564" width="26.7109375" style="108" customWidth="1"/>
    <col min="2565" max="2566" width="9.140625" style="108"/>
    <col min="2567" max="2567" width="11.7109375" style="108" customWidth="1"/>
    <col min="2568" max="2570" width="9.140625" style="108"/>
    <col min="2571" max="2571" width="9.42578125" style="108" bestFit="1" customWidth="1"/>
    <col min="2572" max="2572" width="9.28515625" style="108" bestFit="1" customWidth="1"/>
    <col min="2573" max="2573" width="17" style="108" customWidth="1"/>
    <col min="2574" max="2574" width="9.42578125" style="108" bestFit="1" customWidth="1"/>
    <col min="2575" max="2576" width="9.140625" style="108"/>
    <col min="2577" max="2577" width="12" style="108" customWidth="1"/>
    <col min="2578" max="2578" width="10.7109375" style="108" customWidth="1"/>
    <col min="2579" max="2816" width="9.140625" style="108"/>
    <col min="2817" max="2817" width="14.85546875" style="108" customWidth="1"/>
    <col min="2818" max="2818" width="12.85546875" style="108" bestFit="1" customWidth="1"/>
    <col min="2819" max="2819" width="10.42578125" style="108" bestFit="1" customWidth="1"/>
    <col min="2820" max="2820" width="26.7109375" style="108" customWidth="1"/>
    <col min="2821" max="2822" width="9.140625" style="108"/>
    <col min="2823" max="2823" width="11.7109375" style="108" customWidth="1"/>
    <col min="2824" max="2826" width="9.140625" style="108"/>
    <col min="2827" max="2827" width="9.42578125" style="108" bestFit="1" customWidth="1"/>
    <col min="2828" max="2828" width="9.28515625" style="108" bestFit="1" customWidth="1"/>
    <col min="2829" max="2829" width="17" style="108" customWidth="1"/>
    <col min="2830" max="2830" width="9.42578125" style="108" bestFit="1" customWidth="1"/>
    <col min="2831" max="2832" width="9.140625" style="108"/>
    <col min="2833" max="2833" width="12" style="108" customWidth="1"/>
    <col min="2834" max="2834" width="10.7109375" style="108" customWidth="1"/>
    <col min="2835" max="3072" width="9.140625" style="108"/>
    <col min="3073" max="3073" width="14.85546875" style="108" customWidth="1"/>
    <col min="3074" max="3074" width="12.85546875" style="108" bestFit="1" customWidth="1"/>
    <col min="3075" max="3075" width="10.42578125" style="108" bestFit="1" customWidth="1"/>
    <col min="3076" max="3076" width="26.7109375" style="108" customWidth="1"/>
    <col min="3077" max="3078" width="9.140625" style="108"/>
    <col min="3079" max="3079" width="11.7109375" style="108" customWidth="1"/>
    <col min="3080" max="3082" width="9.140625" style="108"/>
    <col min="3083" max="3083" width="9.42578125" style="108" bestFit="1" customWidth="1"/>
    <col min="3084" max="3084" width="9.28515625" style="108" bestFit="1" customWidth="1"/>
    <col min="3085" max="3085" width="17" style="108" customWidth="1"/>
    <col min="3086" max="3086" width="9.42578125" style="108" bestFit="1" customWidth="1"/>
    <col min="3087" max="3088" width="9.140625" style="108"/>
    <col min="3089" max="3089" width="12" style="108" customWidth="1"/>
    <col min="3090" max="3090" width="10.7109375" style="108" customWidth="1"/>
    <col min="3091" max="3328" width="9.140625" style="108"/>
    <col min="3329" max="3329" width="14.85546875" style="108" customWidth="1"/>
    <col min="3330" max="3330" width="12.85546875" style="108" bestFit="1" customWidth="1"/>
    <col min="3331" max="3331" width="10.42578125" style="108" bestFit="1" customWidth="1"/>
    <col min="3332" max="3332" width="26.7109375" style="108" customWidth="1"/>
    <col min="3333" max="3334" width="9.140625" style="108"/>
    <col min="3335" max="3335" width="11.7109375" style="108" customWidth="1"/>
    <col min="3336" max="3338" width="9.140625" style="108"/>
    <col min="3339" max="3339" width="9.42578125" style="108" bestFit="1" customWidth="1"/>
    <col min="3340" max="3340" width="9.28515625" style="108" bestFit="1" customWidth="1"/>
    <col min="3341" max="3341" width="17" style="108" customWidth="1"/>
    <col min="3342" max="3342" width="9.42578125" style="108" bestFit="1" customWidth="1"/>
    <col min="3343" max="3344" width="9.140625" style="108"/>
    <col min="3345" max="3345" width="12" style="108" customWidth="1"/>
    <col min="3346" max="3346" width="10.7109375" style="108" customWidth="1"/>
    <col min="3347" max="3584" width="9.140625" style="108"/>
    <col min="3585" max="3585" width="14.85546875" style="108" customWidth="1"/>
    <col min="3586" max="3586" width="12.85546875" style="108" bestFit="1" customWidth="1"/>
    <col min="3587" max="3587" width="10.42578125" style="108" bestFit="1" customWidth="1"/>
    <col min="3588" max="3588" width="26.7109375" style="108" customWidth="1"/>
    <col min="3589" max="3590" width="9.140625" style="108"/>
    <col min="3591" max="3591" width="11.7109375" style="108" customWidth="1"/>
    <col min="3592" max="3594" width="9.140625" style="108"/>
    <col min="3595" max="3595" width="9.42578125" style="108" bestFit="1" customWidth="1"/>
    <col min="3596" max="3596" width="9.28515625" style="108" bestFit="1" customWidth="1"/>
    <col min="3597" max="3597" width="17" style="108" customWidth="1"/>
    <col min="3598" max="3598" width="9.42578125" style="108" bestFit="1" customWidth="1"/>
    <col min="3599" max="3600" width="9.140625" style="108"/>
    <col min="3601" max="3601" width="12" style="108" customWidth="1"/>
    <col min="3602" max="3602" width="10.7109375" style="108" customWidth="1"/>
    <col min="3603" max="3840" width="9.140625" style="108"/>
    <col min="3841" max="3841" width="14.85546875" style="108" customWidth="1"/>
    <col min="3842" max="3842" width="12.85546875" style="108" bestFit="1" customWidth="1"/>
    <col min="3843" max="3843" width="10.42578125" style="108" bestFit="1" customWidth="1"/>
    <col min="3844" max="3844" width="26.7109375" style="108" customWidth="1"/>
    <col min="3845" max="3846" width="9.140625" style="108"/>
    <col min="3847" max="3847" width="11.7109375" style="108" customWidth="1"/>
    <col min="3848" max="3850" width="9.140625" style="108"/>
    <col min="3851" max="3851" width="9.42578125" style="108" bestFit="1" customWidth="1"/>
    <col min="3852" max="3852" width="9.28515625" style="108" bestFit="1" customWidth="1"/>
    <col min="3853" max="3853" width="17" style="108" customWidth="1"/>
    <col min="3854" max="3854" width="9.42578125" style="108" bestFit="1" customWidth="1"/>
    <col min="3855" max="3856" width="9.140625" style="108"/>
    <col min="3857" max="3857" width="12" style="108" customWidth="1"/>
    <col min="3858" max="3858" width="10.7109375" style="108" customWidth="1"/>
    <col min="3859" max="4096" width="9.140625" style="108"/>
    <col min="4097" max="4097" width="14.85546875" style="108" customWidth="1"/>
    <col min="4098" max="4098" width="12.85546875" style="108" bestFit="1" customWidth="1"/>
    <col min="4099" max="4099" width="10.42578125" style="108" bestFit="1" customWidth="1"/>
    <col min="4100" max="4100" width="26.7109375" style="108" customWidth="1"/>
    <col min="4101" max="4102" width="9.140625" style="108"/>
    <col min="4103" max="4103" width="11.7109375" style="108" customWidth="1"/>
    <col min="4104" max="4106" width="9.140625" style="108"/>
    <col min="4107" max="4107" width="9.42578125" style="108" bestFit="1" customWidth="1"/>
    <col min="4108" max="4108" width="9.28515625" style="108" bestFit="1" customWidth="1"/>
    <col min="4109" max="4109" width="17" style="108" customWidth="1"/>
    <col min="4110" max="4110" width="9.42578125" style="108" bestFit="1" customWidth="1"/>
    <col min="4111" max="4112" width="9.140625" style="108"/>
    <col min="4113" max="4113" width="12" style="108" customWidth="1"/>
    <col min="4114" max="4114" width="10.7109375" style="108" customWidth="1"/>
    <col min="4115" max="4352" width="9.140625" style="108"/>
    <col min="4353" max="4353" width="14.85546875" style="108" customWidth="1"/>
    <col min="4354" max="4354" width="12.85546875" style="108" bestFit="1" customWidth="1"/>
    <col min="4355" max="4355" width="10.42578125" style="108" bestFit="1" customWidth="1"/>
    <col min="4356" max="4356" width="26.7109375" style="108" customWidth="1"/>
    <col min="4357" max="4358" width="9.140625" style="108"/>
    <col min="4359" max="4359" width="11.7109375" style="108" customWidth="1"/>
    <col min="4360" max="4362" width="9.140625" style="108"/>
    <col min="4363" max="4363" width="9.42578125" style="108" bestFit="1" customWidth="1"/>
    <col min="4364" max="4364" width="9.28515625" style="108" bestFit="1" customWidth="1"/>
    <col min="4365" max="4365" width="17" style="108" customWidth="1"/>
    <col min="4366" max="4366" width="9.42578125" style="108" bestFit="1" customWidth="1"/>
    <col min="4367" max="4368" width="9.140625" style="108"/>
    <col min="4369" max="4369" width="12" style="108" customWidth="1"/>
    <col min="4370" max="4370" width="10.7109375" style="108" customWidth="1"/>
    <col min="4371" max="4608" width="9.140625" style="108"/>
    <col min="4609" max="4609" width="14.85546875" style="108" customWidth="1"/>
    <col min="4610" max="4610" width="12.85546875" style="108" bestFit="1" customWidth="1"/>
    <col min="4611" max="4611" width="10.42578125" style="108" bestFit="1" customWidth="1"/>
    <col min="4612" max="4612" width="26.7109375" style="108" customWidth="1"/>
    <col min="4613" max="4614" width="9.140625" style="108"/>
    <col min="4615" max="4615" width="11.7109375" style="108" customWidth="1"/>
    <col min="4616" max="4618" width="9.140625" style="108"/>
    <col min="4619" max="4619" width="9.42578125" style="108" bestFit="1" customWidth="1"/>
    <col min="4620" max="4620" width="9.28515625" style="108" bestFit="1" customWidth="1"/>
    <col min="4621" max="4621" width="17" style="108" customWidth="1"/>
    <col min="4622" max="4622" width="9.42578125" style="108" bestFit="1" customWidth="1"/>
    <col min="4623" max="4624" width="9.140625" style="108"/>
    <col min="4625" max="4625" width="12" style="108" customWidth="1"/>
    <col min="4626" max="4626" width="10.7109375" style="108" customWidth="1"/>
    <col min="4627" max="4864" width="9.140625" style="108"/>
    <col min="4865" max="4865" width="14.85546875" style="108" customWidth="1"/>
    <col min="4866" max="4866" width="12.85546875" style="108" bestFit="1" customWidth="1"/>
    <col min="4867" max="4867" width="10.42578125" style="108" bestFit="1" customWidth="1"/>
    <col min="4868" max="4868" width="26.7109375" style="108" customWidth="1"/>
    <col min="4869" max="4870" width="9.140625" style="108"/>
    <col min="4871" max="4871" width="11.7109375" style="108" customWidth="1"/>
    <col min="4872" max="4874" width="9.140625" style="108"/>
    <col min="4875" max="4875" width="9.42578125" style="108" bestFit="1" customWidth="1"/>
    <col min="4876" max="4876" width="9.28515625" style="108" bestFit="1" customWidth="1"/>
    <col min="4877" max="4877" width="17" style="108" customWidth="1"/>
    <col min="4878" max="4878" width="9.42578125" style="108" bestFit="1" customWidth="1"/>
    <col min="4879" max="4880" width="9.140625" style="108"/>
    <col min="4881" max="4881" width="12" style="108" customWidth="1"/>
    <col min="4882" max="4882" width="10.7109375" style="108" customWidth="1"/>
    <col min="4883" max="5120" width="9.140625" style="108"/>
    <col min="5121" max="5121" width="14.85546875" style="108" customWidth="1"/>
    <col min="5122" max="5122" width="12.85546875" style="108" bestFit="1" customWidth="1"/>
    <col min="5123" max="5123" width="10.42578125" style="108" bestFit="1" customWidth="1"/>
    <col min="5124" max="5124" width="26.7109375" style="108" customWidth="1"/>
    <col min="5125" max="5126" width="9.140625" style="108"/>
    <col min="5127" max="5127" width="11.7109375" style="108" customWidth="1"/>
    <col min="5128" max="5130" width="9.140625" style="108"/>
    <col min="5131" max="5131" width="9.42578125" style="108" bestFit="1" customWidth="1"/>
    <col min="5132" max="5132" width="9.28515625" style="108" bestFit="1" customWidth="1"/>
    <col min="5133" max="5133" width="17" style="108" customWidth="1"/>
    <col min="5134" max="5134" width="9.42578125" style="108" bestFit="1" customWidth="1"/>
    <col min="5135" max="5136" width="9.140625" style="108"/>
    <col min="5137" max="5137" width="12" style="108" customWidth="1"/>
    <col min="5138" max="5138" width="10.7109375" style="108" customWidth="1"/>
    <col min="5139" max="5376" width="9.140625" style="108"/>
    <col min="5377" max="5377" width="14.85546875" style="108" customWidth="1"/>
    <col min="5378" max="5378" width="12.85546875" style="108" bestFit="1" customWidth="1"/>
    <col min="5379" max="5379" width="10.42578125" style="108" bestFit="1" customWidth="1"/>
    <col min="5380" max="5380" width="26.7109375" style="108" customWidth="1"/>
    <col min="5381" max="5382" width="9.140625" style="108"/>
    <col min="5383" max="5383" width="11.7109375" style="108" customWidth="1"/>
    <col min="5384" max="5386" width="9.140625" style="108"/>
    <col min="5387" max="5387" width="9.42578125" style="108" bestFit="1" customWidth="1"/>
    <col min="5388" max="5388" width="9.28515625" style="108" bestFit="1" customWidth="1"/>
    <col min="5389" max="5389" width="17" style="108" customWidth="1"/>
    <col min="5390" max="5390" width="9.42578125" style="108" bestFit="1" customWidth="1"/>
    <col min="5391" max="5392" width="9.140625" style="108"/>
    <col min="5393" max="5393" width="12" style="108" customWidth="1"/>
    <col min="5394" max="5394" width="10.7109375" style="108" customWidth="1"/>
    <col min="5395" max="5632" width="9.140625" style="108"/>
    <col min="5633" max="5633" width="14.85546875" style="108" customWidth="1"/>
    <col min="5634" max="5634" width="12.85546875" style="108" bestFit="1" customWidth="1"/>
    <col min="5635" max="5635" width="10.42578125" style="108" bestFit="1" customWidth="1"/>
    <col min="5636" max="5636" width="26.7109375" style="108" customWidth="1"/>
    <col min="5637" max="5638" width="9.140625" style="108"/>
    <col min="5639" max="5639" width="11.7109375" style="108" customWidth="1"/>
    <col min="5640" max="5642" width="9.140625" style="108"/>
    <col min="5643" max="5643" width="9.42578125" style="108" bestFit="1" customWidth="1"/>
    <col min="5644" max="5644" width="9.28515625" style="108" bestFit="1" customWidth="1"/>
    <col min="5645" max="5645" width="17" style="108" customWidth="1"/>
    <col min="5646" max="5646" width="9.42578125" style="108" bestFit="1" customWidth="1"/>
    <col min="5647" max="5648" width="9.140625" style="108"/>
    <col min="5649" max="5649" width="12" style="108" customWidth="1"/>
    <col min="5650" max="5650" width="10.7109375" style="108" customWidth="1"/>
    <col min="5651" max="5888" width="9.140625" style="108"/>
    <col min="5889" max="5889" width="14.85546875" style="108" customWidth="1"/>
    <col min="5890" max="5890" width="12.85546875" style="108" bestFit="1" customWidth="1"/>
    <col min="5891" max="5891" width="10.42578125" style="108" bestFit="1" customWidth="1"/>
    <col min="5892" max="5892" width="26.7109375" style="108" customWidth="1"/>
    <col min="5893" max="5894" width="9.140625" style="108"/>
    <col min="5895" max="5895" width="11.7109375" style="108" customWidth="1"/>
    <col min="5896" max="5898" width="9.140625" style="108"/>
    <col min="5899" max="5899" width="9.42578125" style="108" bestFit="1" customWidth="1"/>
    <col min="5900" max="5900" width="9.28515625" style="108" bestFit="1" customWidth="1"/>
    <col min="5901" max="5901" width="17" style="108" customWidth="1"/>
    <col min="5902" max="5902" width="9.42578125" style="108" bestFit="1" customWidth="1"/>
    <col min="5903" max="5904" width="9.140625" style="108"/>
    <col min="5905" max="5905" width="12" style="108" customWidth="1"/>
    <col min="5906" max="5906" width="10.7109375" style="108" customWidth="1"/>
    <col min="5907" max="6144" width="9.140625" style="108"/>
    <col min="6145" max="6145" width="14.85546875" style="108" customWidth="1"/>
    <col min="6146" max="6146" width="12.85546875" style="108" bestFit="1" customWidth="1"/>
    <col min="6147" max="6147" width="10.42578125" style="108" bestFit="1" customWidth="1"/>
    <col min="6148" max="6148" width="26.7109375" style="108" customWidth="1"/>
    <col min="6149" max="6150" width="9.140625" style="108"/>
    <col min="6151" max="6151" width="11.7109375" style="108" customWidth="1"/>
    <col min="6152" max="6154" width="9.140625" style="108"/>
    <col min="6155" max="6155" width="9.42578125" style="108" bestFit="1" customWidth="1"/>
    <col min="6156" max="6156" width="9.28515625" style="108" bestFit="1" customWidth="1"/>
    <col min="6157" max="6157" width="17" style="108" customWidth="1"/>
    <col min="6158" max="6158" width="9.42578125" style="108" bestFit="1" customWidth="1"/>
    <col min="6159" max="6160" width="9.140625" style="108"/>
    <col min="6161" max="6161" width="12" style="108" customWidth="1"/>
    <col min="6162" max="6162" width="10.7109375" style="108" customWidth="1"/>
    <col min="6163" max="6400" width="9.140625" style="108"/>
    <col min="6401" max="6401" width="14.85546875" style="108" customWidth="1"/>
    <col min="6402" max="6402" width="12.85546875" style="108" bestFit="1" customWidth="1"/>
    <col min="6403" max="6403" width="10.42578125" style="108" bestFit="1" customWidth="1"/>
    <col min="6404" max="6404" width="26.7109375" style="108" customWidth="1"/>
    <col min="6405" max="6406" width="9.140625" style="108"/>
    <col min="6407" max="6407" width="11.7109375" style="108" customWidth="1"/>
    <col min="6408" max="6410" width="9.140625" style="108"/>
    <col min="6411" max="6411" width="9.42578125" style="108" bestFit="1" customWidth="1"/>
    <col min="6412" max="6412" width="9.28515625" style="108" bestFit="1" customWidth="1"/>
    <col min="6413" max="6413" width="17" style="108" customWidth="1"/>
    <col min="6414" max="6414" width="9.42578125" style="108" bestFit="1" customWidth="1"/>
    <col min="6415" max="6416" width="9.140625" style="108"/>
    <col min="6417" max="6417" width="12" style="108" customWidth="1"/>
    <col min="6418" max="6418" width="10.7109375" style="108" customWidth="1"/>
    <col min="6419" max="6656" width="9.140625" style="108"/>
    <col min="6657" max="6657" width="14.85546875" style="108" customWidth="1"/>
    <col min="6658" max="6658" width="12.85546875" style="108" bestFit="1" customWidth="1"/>
    <col min="6659" max="6659" width="10.42578125" style="108" bestFit="1" customWidth="1"/>
    <col min="6660" max="6660" width="26.7109375" style="108" customWidth="1"/>
    <col min="6661" max="6662" width="9.140625" style="108"/>
    <col min="6663" max="6663" width="11.7109375" style="108" customWidth="1"/>
    <col min="6664" max="6666" width="9.140625" style="108"/>
    <col min="6667" max="6667" width="9.42578125" style="108" bestFit="1" customWidth="1"/>
    <col min="6668" max="6668" width="9.28515625" style="108" bestFit="1" customWidth="1"/>
    <col min="6669" max="6669" width="17" style="108" customWidth="1"/>
    <col min="6670" max="6670" width="9.42578125" style="108" bestFit="1" customWidth="1"/>
    <col min="6671" max="6672" width="9.140625" style="108"/>
    <col min="6673" max="6673" width="12" style="108" customWidth="1"/>
    <col min="6674" max="6674" width="10.7109375" style="108" customWidth="1"/>
    <col min="6675" max="6912" width="9.140625" style="108"/>
    <col min="6913" max="6913" width="14.85546875" style="108" customWidth="1"/>
    <col min="6914" max="6914" width="12.85546875" style="108" bestFit="1" customWidth="1"/>
    <col min="6915" max="6915" width="10.42578125" style="108" bestFit="1" customWidth="1"/>
    <col min="6916" max="6916" width="26.7109375" style="108" customWidth="1"/>
    <col min="6917" max="6918" width="9.140625" style="108"/>
    <col min="6919" max="6919" width="11.7109375" style="108" customWidth="1"/>
    <col min="6920" max="6922" width="9.140625" style="108"/>
    <col min="6923" max="6923" width="9.42578125" style="108" bestFit="1" customWidth="1"/>
    <col min="6924" max="6924" width="9.28515625" style="108" bestFit="1" customWidth="1"/>
    <col min="6925" max="6925" width="17" style="108" customWidth="1"/>
    <col min="6926" max="6926" width="9.42578125" style="108" bestFit="1" customWidth="1"/>
    <col min="6927" max="6928" width="9.140625" style="108"/>
    <col min="6929" max="6929" width="12" style="108" customWidth="1"/>
    <col min="6930" max="6930" width="10.7109375" style="108" customWidth="1"/>
    <col min="6931" max="7168" width="9.140625" style="108"/>
    <col min="7169" max="7169" width="14.85546875" style="108" customWidth="1"/>
    <col min="7170" max="7170" width="12.85546875" style="108" bestFit="1" customWidth="1"/>
    <col min="7171" max="7171" width="10.42578125" style="108" bestFit="1" customWidth="1"/>
    <col min="7172" max="7172" width="26.7109375" style="108" customWidth="1"/>
    <col min="7173" max="7174" width="9.140625" style="108"/>
    <col min="7175" max="7175" width="11.7109375" style="108" customWidth="1"/>
    <col min="7176" max="7178" width="9.140625" style="108"/>
    <col min="7179" max="7179" width="9.42578125" style="108" bestFit="1" customWidth="1"/>
    <col min="7180" max="7180" width="9.28515625" style="108" bestFit="1" customWidth="1"/>
    <col min="7181" max="7181" width="17" style="108" customWidth="1"/>
    <col min="7182" max="7182" width="9.42578125" style="108" bestFit="1" customWidth="1"/>
    <col min="7183" max="7184" width="9.140625" style="108"/>
    <col min="7185" max="7185" width="12" style="108" customWidth="1"/>
    <col min="7186" max="7186" width="10.7109375" style="108" customWidth="1"/>
    <col min="7187" max="7424" width="9.140625" style="108"/>
    <col min="7425" max="7425" width="14.85546875" style="108" customWidth="1"/>
    <col min="7426" max="7426" width="12.85546875" style="108" bestFit="1" customWidth="1"/>
    <col min="7427" max="7427" width="10.42578125" style="108" bestFit="1" customWidth="1"/>
    <col min="7428" max="7428" width="26.7109375" style="108" customWidth="1"/>
    <col min="7429" max="7430" width="9.140625" style="108"/>
    <col min="7431" max="7431" width="11.7109375" style="108" customWidth="1"/>
    <col min="7432" max="7434" width="9.140625" style="108"/>
    <col min="7435" max="7435" width="9.42578125" style="108" bestFit="1" customWidth="1"/>
    <col min="7436" max="7436" width="9.28515625" style="108" bestFit="1" customWidth="1"/>
    <col min="7437" max="7437" width="17" style="108" customWidth="1"/>
    <col min="7438" max="7438" width="9.42578125" style="108" bestFit="1" customWidth="1"/>
    <col min="7439" max="7440" width="9.140625" style="108"/>
    <col min="7441" max="7441" width="12" style="108" customWidth="1"/>
    <col min="7442" max="7442" width="10.7109375" style="108" customWidth="1"/>
    <col min="7443" max="7680" width="9.140625" style="108"/>
    <col min="7681" max="7681" width="14.85546875" style="108" customWidth="1"/>
    <col min="7682" max="7682" width="12.85546875" style="108" bestFit="1" customWidth="1"/>
    <col min="7683" max="7683" width="10.42578125" style="108" bestFit="1" customWidth="1"/>
    <col min="7684" max="7684" width="26.7109375" style="108" customWidth="1"/>
    <col min="7685" max="7686" width="9.140625" style="108"/>
    <col min="7687" max="7687" width="11.7109375" style="108" customWidth="1"/>
    <col min="7688" max="7690" width="9.140625" style="108"/>
    <col min="7691" max="7691" width="9.42578125" style="108" bestFit="1" customWidth="1"/>
    <col min="7692" max="7692" width="9.28515625" style="108" bestFit="1" customWidth="1"/>
    <col min="7693" max="7693" width="17" style="108" customWidth="1"/>
    <col min="7694" max="7694" width="9.42578125" style="108" bestFit="1" customWidth="1"/>
    <col min="7695" max="7696" width="9.140625" style="108"/>
    <col min="7697" max="7697" width="12" style="108" customWidth="1"/>
    <col min="7698" max="7698" width="10.7109375" style="108" customWidth="1"/>
    <col min="7699" max="7936" width="9.140625" style="108"/>
    <col min="7937" max="7937" width="14.85546875" style="108" customWidth="1"/>
    <col min="7938" max="7938" width="12.85546875" style="108" bestFit="1" customWidth="1"/>
    <col min="7939" max="7939" width="10.42578125" style="108" bestFit="1" customWidth="1"/>
    <col min="7940" max="7940" width="26.7109375" style="108" customWidth="1"/>
    <col min="7941" max="7942" width="9.140625" style="108"/>
    <col min="7943" max="7943" width="11.7109375" style="108" customWidth="1"/>
    <col min="7944" max="7946" width="9.140625" style="108"/>
    <col min="7947" max="7947" width="9.42578125" style="108" bestFit="1" customWidth="1"/>
    <col min="7948" max="7948" width="9.28515625" style="108" bestFit="1" customWidth="1"/>
    <col min="7949" max="7949" width="17" style="108" customWidth="1"/>
    <col min="7950" max="7950" width="9.42578125" style="108" bestFit="1" customWidth="1"/>
    <col min="7951" max="7952" width="9.140625" style="108"/>
    <col min="7953" max="7953" width="12" style="108" customWidth="1"/>
    <col min="7954" max="7954" width="10.7109375" style="108" customWidth="1"/>
    <col min="7955" max="8192" width="9.140625" style="108"/>
    <col min="8193" max="8193" width="14.85546875" style="108" customWidth="1"/>
    <col min="8194" max="8194" width="12.85546875" style="108" bestFit="1" customWidth="1"/>
    <col min="8195" max="8195" width="10.42578125" style="108" bestFit="1" customWidth="1"/>
    <col min="8196" max="8196" width="26.7109375" style="108" customWidth="1"/>
    <col min="8197" max="8198" width="9.140625" style="108"/>
    <col min="8199" max="8199" width="11.7109375" style="108" customWidth="1"/>
    <col min="8200" max="8202" width="9.140625" style="108"/>
    <col min="8203" max="8203" width="9.42578125" style="108" bestFit="1" customWidth="1"/>
    <col min="8204" max="8204" width="9.28515625" style="108" bestFit="1" customWidth="1"/>
    <col min="8205" max="8205" width="17" style="108" customWidth="1"/>
    <col min="8206" max="8206" width="9.42578125" style="108" bestFit="1" customWidth="1"/>
    <col min="8207" max="8208" width="9.140625" style="108"/>
    <col min="8209" max="8209" width="12" style="108" customWidth="1"/>
    <col min="8210" max="8210" width="10.7109375" style="108" customWidth="1"/>
    <col min="8211" max="8448" width="9.140625" style="108"/>
    <col min="8449" max="8449" width="14.85546875" style="108" customWidth="1"/>
    <col min="8450" max="8450" width="12.85546875" style="108" bestFit="1" customWidth="1"/>
    <col min="8451" max="8451" width="10.42578125" style="108" bestFit="1" customWidth="1"/>
    <col min="8452" max="8452" width="26.7109375" style="108" customWidth="1"/>
    <col min="8453" max="8454" width="9.140625" style="108"/>
    <col min="8455" max="8455" width="11.7109375" style="108" customWidth="1"/>
    <col min="8456" max="8458" width="9.140625" style="108"/>
    <col min="8459" max="8459" width="9.42578125" style="108" bestFit="1" customWidth="1"/>
    <col min="8460" max="8460" width="9.28515625" style="108" bestFit="1" customWidth="1"/>
    <col min="8461" max="8461" width="17" style="108" customWidth="1"/>
    <col min="8462" max="8462" width="9.42578125" style="108" bestFit="1" customWidth="1"/>
    <col min="8463" max="8464" width="9.140625" style="108"/>
    <col min="8465" max="8465" width="12" style="108" customWidth="1"/>
    <col min="8466" max="8466" width="10.7109375" style="108" customWidth="1"/>
    <col min="8467" max="8704" width="9.140625" style="108"/>
    <col min="8705" max="8705" width="14.85546875" style="108" customWidth="1"/>
    <col min="8706" max="8706" width="12.85546875" style="108" bestFit="1" customWidth="1"/>
    <col min="8707" max="8707" width="10.42578125" style="108" bestFit="1" customWidth="1"/>
    <col min="8708" max="8708" width="26.7109375" style="108" customWidth="1"/>
    <col min="8709" max="8710" width="9.140625" style="108"/>
    <col min="8711" max="8711" width="11.7109375" style="108" customWidth="1"/>
    <col min="8712" max="8714" width="9.140625" style="108"/>
    <col min="8715" max="8715" width="9.42578125" style="108" bestFit="1" customWidth="1"/>
    <col min="8716" max="8716" width="9.28515625" style="108" bestFit="1" customWidth="1"/>
    <col min="8717" max="8717" width="17" style="108" customWidth="1"/>
    <col min="8718" max="8718" width="9.42578125" style="108" bestFit="1" customWidth="1"/>
    <col min="8719" max="8720" width="9.140625" style="108"/>
    <col min="8721" max="8721" width="12" style="108" customWidth="1"/>
    <col min="8722" max="8722" width="10.7109375" style="108" customWidth="1"/>
    <col min="8723" max="8960" width="9.140625" style="108"/>
    <col min="8961" max="8961" width="14.85546875" style="108" customWidth="1"/>
    <col min="8962" max="8962" width="12.85546875" style="108" bestFit="1" customWidth="1"/>
    <col min="8963" max="8963" width="10.42578125" style="108" bestFit="1" customWidth="1"/>
    <col min="8964" max="8964" width="26.7109375" style="108" customWidth="1"/>
    <col min="8965" max="8966" width="9.140625" style="108"/>
    <col min="8967" max="8967" width="11.7109375" style="108" customWidth="1"/>
    <col min="8968" max="8970" width="9.140625" style="108"/>
    <col min="8971" max="8971" width="9.42578125" style="108" bestFit="1" customWidth="1"/>
    <col min="8972" max="8972" width="9.28515625" style="108" bestFit="1" customWidth="1"/>
    <col min="8973" max="8973" width="17" style="108" customWidth="1"/>
    <col min="8974" max="8974" width="9.42578125" style="108" bestFit="1" customWidth="1"/>
    <col min="8975" max="8976" width="9.140625" style="108"/>
    <col min="8977" max="8977" width="12" style="108" customWidth="1"/>
    <col min="8978" max="8978" width="10.7109375" style="108" customWidth="1"/>
    <col min="8979" max="9216" width="9.140625" style="108"/>
    <col min="9217" max="9217" width="14.85546875" style="108" customWidth="1"/>
    <col min="9218" max="9218" width="12.85546875" style="108" bestFit="1" customWidth="1"/>
    <col min="9219" max="9219" width="10.42578125" style="108" bestFit="1" customWidth="1"/>
    <col min="9220" max="9220" width="26.7109375" style="108" customWidth="1"/>
    <col min="9221" max="9222" width="9.140625" style="108"/>
    <col min="9223" max="9223" width="11.7109375" style="108" customWidth="1"/>
    <col min="9224" max="9226" width="9.140625" style="108"/>
    <col min="9227" max="9227" width="9.42578125" style="108" bestFit="1" customWidth="1"/>
    <col min="9228" max="9228" width="9.28515625" style="108" bestFit="1" customWidth="1"/>
    <col min="9229" max="9229" width="17" style="108" customWidth="1"/>
    <col min="9230" max="9230" width="9.42578125" style="108" bestFit="1" customWidth="1"/>
    <col min="9231" max="9232" width="9.140625" style="108"/>
    <col min="9233" max="9233" width="12" style="108" customWidth="1"/>
    <col min="9234" max="9234" width="10.7109375" style="108" customWidth="1"/>
    <col min="9235" max="9472" width="9.140625" style="108"/>
    <col min="9473" max="9473" width="14.85546875" style="108" customWidth="1"/>
    <col min="9474" max="9474" width="12.85546875" style="108" bestFit="1" customWidth="1"/>
    <col min="9475" max="9475" width="10.42578125" style="108" bestFit="1" customWidth="1"/>
    <col min="9476" max="9476" width="26.7109375" style="108" customWidth="1"/>
    <col min="9477" max="9478" width="9.140625" style="108"/>
    <col min="9479" max="9479" width="11.7109375" style="108" customWidth="1"/>
    <col min="9480" max="9482" width="9.140625" style="108"/>
    <col min="9483" max="9483" width="9.42578125" style="108" bestFit="1" customWidth="1"/>
    <col min="9484" max="9484" width="9.28515625" style="108" bestFit="1" customWidth="1"/>
    <col min="9485" max="9485" width="17" style="108" customWidth="1"/>
    <col min="9486" max="9486" width="9.42578125" style="108" bestFit="1" customWidth="1"/>
    <col min="9487" max="9488" width="9.140625" style="108"/>
    <col min="9489" max="9489" width="12" style="108" customWidth="1"/>
    <col min="9490" max="9490" width="10.7109375" style="108" customWidth="1"/>
    <col min="9491" max="9728" width="9.140625" style="108"/>
    <col min="9729" max="9729" width="14.85546875" style="108" customWidth="1"/>
    <col min="9730" max="9730" width="12.85546875" style="108" bestFit="1" customWidth="1"/>
    <col min="9731" max="9731" width="10.42578125" style="108" bestFit="1" customWidth="1"/>
    <col min="9732" max="9732" width="26.7109375" style="108" customWidth="1"/>
    <col min="9733" max="9734" width="9.140625" style="108"/>
    <col min="9735" max="9735" width="11.7109375" style="108" customWidth="1"/>
    <col min="9736" max="9738" width="9.140625" style="108"/>
    <col min="9739" max="9739" width="9.42578125" style="108" bestFit="1" customWidth="1"/>
    <col min="9740" max="9740" width="9.28515625" style="108" bestFit="1" customWidth="1"/>
    <col min="9741" max="9741" width="17" style="108" customWidth="1"/>
    <col min="9742" max="9742" width="9.42578125" style="108" bestFit="1" customWidth="1"/>
    <col min="9743" max="9744" width="9.140625" style="108"/>
    <col min="9745" max="9745" width="12" style="108" customWidth="1"/>
    <col min="9746" max="9746" width="10.7109375" style="108" customWidth="1"/>
    <col min="9747" max="9984" width="9.140625" style="108"/>
    <col min="9985" max="9985" width="14.85546875" style="108" customWidth="1"/>
    <col min="9986" max="9986" width="12.85546875" style="108" bestFit="1" customWidth="1"/>
    <col min="9987" max="9987" width="10.42578125" style="108" bestFit="1" customWidth="1"/>
    <col min="9988" max="9988" width="26.7109375" style="108" customWidth="1"/>
    <col min="9989" max="9990" width="9.140625" style="108"/>
    <col min="9991" max="9991" width="11.7109375" style="108" customWidth="1"/>
    <col min="9992" max="9994" width="9.140625" style="108"/>
    <col min="9995" max="9995" width="9.42578125" style="108" bestFit="1" customWidth="1"/>
    <col min="9996" max="9996" width="9.28515625" style="108" bestFit="1" customWidth="1"/>
    <col min="9997" max="9997" width="17" style="108" customWidth="1"/>
    <col min="9998" max="9998" width="9.42578125" style="108" bestFit="1" customWidth="1"/>
    <col min="9999" max="10000" width="9.140625" style="108"/>
    <col min="10001" max="10001" width="12" style="108" customWidth="1"/>
    <col min="10002" max="10002" width="10.7109375" style="108" customWidth="1"/>
    <col min="10003" max="10240" width="9.140625" style="108"/>
    <col min="10241" max="10241" width="14.85546875" style="108" customWidth="1"/>
    <col min="10242" max="10242" width="12.85546875" style="108" bestFit="1" customWidth="1"/>
    <col min="10243" max="10243" width="10.42578125" style="108" bestFit="1" customWidth="1"/>
    <col min="10244" max="10244" width="26.7109375" style="108" customWidth="1"/>
    <col min="10245" max="10246" width="9.140625" style="108"/>
    <col min="10247" max="10247" width="11.7109375" style="108" customWidth="1"/>
    <col min="10248" max="10250" width="9.140625" style="108"/>
    <col min="10251" max="10251" width="9.42578125" style="108" bestFit="1" customWidth="1"/>
    <col min="10252" max="10252" width="9.28515625" style="108" bestFit="1" customWidth="1"/>
    <col min="10253" max="10253" width="17" style="108" customWidth="1"/>
    <col min="10254" max="10254" width="9.42578125" style="108" bestFit="1" customWidth="1"/>
    <col min="10255" max="10256" width="9.140625" style="108"/>
    <col min="10257" max="10257" width="12" style="108" customWidth="1"/>
    <col min="10258" max="10258" width="10.7109375" style="108" customWidth="1"/>
    <col min="10259" max="10496" width="9.140625" style="108"/>
    <col min="10497" max="10497" width="14.85546875" style="108" customWidth="1"/>
    <col min="10498" max="10498" width="12.85546875" style="108" bestFit="1" customWidth="1"/>
    <col min="10499" max="10499" width="10.42578125" style="108" bestFit="1" customWidth="1"/>
    <col min="10500" max="10500" width="26.7109375" style="108" customWidth="1"/>
    <col min="10501" max="10502" width="9.140625" style="108"/>
    <col min="10503" max="10503" width="11.7109375" style="108" customWidth="1"/>
    <col min="10504" max="10506" width="9.140625" style="108"/>
    <col min="10507" max="10507" width="9.42578125" style="108" bestFit="1" customWidth="1"/>
    <col min="10508" max="10508" width="9.28515625" style="108" bestFit="1" customWidth="1"/>
    <col min="10509" max="10509" width="17" style="108" customWidth="1"/>
    <col min="10510" max="10510" width="9.42578125" style="108" bestFit="1" customWidth="1"/>
    <col min="10511" max="10512" width="9.140625" style="108"/>
    <col min="10513" max="10513" width="12" style="108" customWidth="1"/>
    <col min="10514" max="10514" width="10.7109375" style="108" customWidth="1"/>
    <col min="10515" max="10752" width="9.140625" style="108"/>
    <col min="10753" max="10753" width="14.85546875" style="108" customWidth="1"/>
    <col min="10754" max="10754" width="12.85546875" style="108" bestFit="1" customWidth="1"/>
    <col min="10755" max="10755" width="10.42578125" style="108" bestFit="1" customWidth="1"/>
    <col min="10756" max="10756" width="26.7109375" style="108" customWidth="1"/>
    <col min="10757" max="10758" width="9.140625" style="108"/>
    <col min="10759" max="10759" width="11.7109375" style="108" customWidth="1"/>
    <col min="10760" max="10762" width="9.140625" style="108"/>
    <col min="10763" max="10763" width="9.42578125" style="108" bestFit="1" customWidth="1"/>
    <col min="10764" max="10764" width="9.28515625" style="108" bestFit="1" customWidth="1"/>
    <col min="10765" max="10765" width="17" style="108" customWidth="1"/>
    <col min="10766" max="10766" width="9.42578125" style="108" bestFit="1" customWidth="1"/>
    <col min="10767" max="10768" width="9.140625" style="108"/>
    <col min="10769" max="10769" width="12" style="108" customWidth="1"/>
    <col min="10770" max="10770" width="10.7109375" style="108" customWidth="1"/>
    <col min="10771" max="11008" width="9.140625" style="108"/>
    <col min="11009" max="11009" width="14.85546875" style="108" customWidth="1"/>
    <col min="11010" max="11010" width="12.85546875" style="108" bestFit="1" customWidth="1"/>
    <col min="11011" max="11011" width="10.42578125" style="108" bestFit="1" customWidth="1"/>
    <col min="11012" max="11012" width="26.7109375" style="108" customWidth="1"/>
    <col min="11013" max="11014" width="9.140625" style="108"/>
    <col min="11015" max="11015" width="11.7109375" style="108" customWidth="1"/>
    <col min="11016" max="11018" width="9.140625" style="108"/>
    <col min="11019" max="11019" width="9.42578125" style="108" bestFit="1" customWidth="1"/>
    <col min="11020" max="11020" width="9.28515625" style="108" bestFit="1" customWidth="1"/>
    <col min="11021" max="11021" width="17" style="108" customWidth="1"/>
    <col min="11022" max="11022" width="9.42578125" style="108" bestFit="1" customWidth="1"/>
    <col min="11023" max="11024" width="9.140625" style="108"/>
    <col min="11025" max="11025" width="12" style="108" customWidth="1"/>
    <col min="11026" max="11026" width="10.7109375" style="108" customWidth="1"/>
    <col min="11027" max="11264" width="9.140625" style="108"/>
    <col min="11265" max="11265" width="14.85546875" style="108" customWidth="1"/>
    <col min="11266" max="11266" width="12.85546875" style="108" bestFit="1" customWidth="1"/>
    <col min="11267" max="11267" width="10.42578125" style="108" bestFit="1" customWidth="1"/>
    <col min="11268" max="11268" width="26.7109375" style="108" customWidth="1"/>
    <col min="11269" max="11270" width="9.140625" style="108"/>
    <col min="11271" max="11271" width="11.7109375" style="108" customWidth="1"/>
    <col min="11272" max="11274" width="9.140625" style="108"/>
    <col min="11275" max="11275" width="9.42578125" style="108" bestFit="1" customWidth="1"/>
    <col min="11276" max="11276" width="9.28515625" style="108" bestFit="1" customWidth="1"/>
    <col min="11277" max="11277" width="17" style="108" customWidth="1"/>
    <col min="11278" max="11278" width="9.42578125" style="108" bestFit="1" customWidth="1"/>
    <col min="11279" max="11280" width="9.140625" style="108"/>
    <col min="11281" max="11281" width="12" style="108" customWidth="1"/>
    <col min="11282" max="11282" width="10.7109375" style="108" customWidth="1"/>
    <col min="11283" max="11520" width="9.140625" style="108"/>
    <col min="11521" max="11521" width="14.85546875" style="108" customWidth="1"/>
    <col min="11522" max="11522" width="12.85546875" style="108" bestFit="1" customWidth="1"/>
    <col min="11523" max="11523" width="10.42578125" style="108" bestFit="1" customWidth="1"/>
    <col min="11524" max="11524" width="26.7109375" style="108" customWidth="1"/>
    <col min="11525" max="11526" width="9.140625" style="108"/>
    <col min="11527" max="11527" width="11.7109375" style="108" customWidth="1"/>
    <col min="11528" max="11530" width="9.140625" style="108"/>
    <col min="11531" max="11531" width="9.42578125" style="108" bestFit="1" customWidth="1"/>
    <col min="11532" max="11532" width="9.28515625" style="108" bestFit="1" customWidth="1"/>
    <col min="11533" max="11533" width="17" style="108" customWidth="1"/>
    <col min="11534" max="11534" width="9.42578125" style="108" bestFit="1" customWidth="1"/>
    <col min="11535" max="11536" width="9.140625" style="108"/>
    <col min="11537" max="11537" width="12" style="108" customWidth="1"/>
    <col min="11538" max="11538" width="10.7109375" style="108" customWidth="1"/>
    <col min="11539" max="11776" width="9.140625" style="108"/>
    <col min="11777" max="11777" width="14.85546875" style="108" customWidth="1"/>
    <col min="11778" max="11778" width="12.85546875" style="108" bestFit="1" customWidth="1"/>
    <col min="11779" max="11779" width="10.42578125" style="108" bestFit="1" customWidth="1"/>
    <col min="11780" max="11780" width="26.7109375" style="108" customWidth="1"/>
    <col min="11781" max="11782" width="9.140625" style="108"/>
    <col min="11783" max="11783" width="11.7109375" style="108" customWidth="1"/>
    <col min="11784" max="11786" width="9.140625" style="108"/>
    <col min="11787" max="11787" width="9.42578125" style="108" bestFit="1" customWidth="1"/>
    <col min="11788" max="11788" width="9.28515625" style="108" bestFit="1" customWidth="1"/>
    <col min="11789" max="11789" width="17" style="108" customWidth="1"/>
    <col min="11790" max="11790" width="9.42578125" style="108" bestFit="1" customWidth="1"/>
    <col min="11791" max="11792" width="9.140625" style="108"/>
    <col min="11793" max="11793" width="12" style="108" customWidth="1"/>
    <col min="11794" max="11794" width="10.7109375" style="108" customWidth="1"/>
    <col min="11795" max="12032" width="9.140625" style="108"/>
    <col min="12033" max="12033" width="14.85546875" style="108" customWidth="1"/>
    <col min="12034" max="12034" width="12.85546875" style="108" bestFit="1" customWidth="1"/>
    <col min="12035" max="12035" width="10.42578125" style="108" bestFit="1" customWidth="1"/>
    <col min="12036" max="12036" width="26.7109375" style="108" customWidth="1"/>
    <col min="12037" max="12038" width="9.140625" style="108"/>
    <col min="12039" max="12039" width="11.7109375" style="108" customWidth="1"/>
    <col min="12040" max="12042" width="9.140625" style="108"/>
    <col min="12043" max="12043" width="9.42578125" style="108" bestFit="1" customWidth="1"/>
    <col min="12044" max="12044" width="9.28515625" style="108" bestFit="1" customWidth="1"/>
    <col min="12045" max="12045" width="17" style="108" customWidth="1"/>
    <col min="12046" max="12046" width="9.42578125" style="108" bestFit="1" customWidth="1"/>
    <col min="12047" max="12048" width="9.140625" style="108"/>
    <col min="12049" max="12049" width="12" style="108" customWidth="1"/>
    <col min="12050" max="12050" width="10.7109375" style="108" customWidth="1"/>
    <col min="12051" max="12288" width="9.140625" style="108"/>
    <col min="12289" max="12289" width="14.85546875" style="108" customWidth="1"/>
    <col min="12290" max="12290" width="12.85546875" style="108" bestFit="1" customWidth="1"/>
    <col min="12291" max="12291" width="10.42578125" style="108" bestFit="1" customWidth="1"/>
    <col min="12292" max="12292" width="26.7109375" style="108" customWidth="1"/>
    <col min="12293" max="12294" width="9.140625" style="108"/>
    <col min="12295" max="12295" width="11.7109375" style="108" customWidth="1"/>
    <col min="12296" max="12298" width="9.140625" style="108"/>
    <col min="12299" max="12299" width="9.42578125" style="108" bestFit="1" customWidth="1"/>
    <col min="12300" max="12300" width="9.28515625" style="108" bestFit="1" customWidth="1"/>
    <col min="12301" max="12301" width="17" style="108" customWidth="1"/>
    <col min="12302" max="12302" width="9.42578125" style="108" bestFit="1" customWidth="1"/>
    <col min="12303" max="12304" width="9.140625" style="108"/>
    <col min="12305" max="12305" width="12" style="108" customWidth="1"/>
    <col min="12306" max="12306" width="10.7109375" style="108" customWidth="1"/>
    <col min="12307" max="12544" width="9.140625" style="108"/>
    <col min="12545" max="12545" width="14.85546875" style="108" customWidth="1"/>
    <col min="12546" max="12546" width="12.85546875" style="108" bestFit="1" customWidth="1"/>
    <col min="12547" max="12547" width="10.42578125" style="108" bestFit="1" customWidth="1"/>
    <col min="12548" max="12548" width="26.7109375" style="108" customWidth="1"/>
    <col min="12549" max="12550" width="9.140625" style="108"/>
    <col min="12551" max="12551" width="11.7109375" style="108" customWidth="1"/>
    <col min="12552" max="12554" width="9.140625" style="108"/>
    <col min="12555" max="12555" width="9.42578125" style="108" bestFit="1" customWidth="1"/>
    <col min="12556" max="12556" width="9.28515625" style="108" bestFit="1" customWidth="1"/>
    <col min="12557" max="12557" width="17" style="108" customWidth="1"/>
    <col min="12558" max="12558" width="9.42578125" style="108" bestFit="1" customWidth="1"/>
    <col min="12559" max="12560" width="9.140625" style="108"/>
    <col min="12561" max="12561" width="12" style="108" customWidth="1"/>
    <col min="12562" max="12562" width="10.7109375" style="108" customWidth="1"/>
    <col min="12563" max="12800" width="9.140625" style="108"/>
    <col min="12801" max="12801" width="14.85546875" style="108" customWidth="1"/>
    <col min="12802" max="12802" width="12.85546875" style="108" bestFit="1" customWidth="1"/>
    <col min="12803" max="12803" width="10.42578125" style="108" bestFit="1" customWidth="1"/>
    <col min="12804" max="12804" width="26.7109375" style="108" customWidth="1"/>
    <col min="12805" max="12806" width="9.140625" style="108"/>
    <col min="12807" max="12807" width="11.7109375" style="108" customWidth="1"/>
    <col min="12808" max="12810" width="9.140625" style="108"/>
    <col min="12811" max="12811" width="9.42578125" style="108" bestFit="1" customWidth="1"/>
    <col min="12812" max="12812" width="9.28515625" style="108" bestFit="1" customWidth="1"/>
    <col min="12813" max="12813" width="17" style="108" customWidth="1"/>
    <col min="12814" max="12814" width="9.42578125" style="108" bestFit="1" customWidth="1"/>
    <col min="12815" max="12816" width="9.140625" style="108"/>
    <col min="12817" max="12817" width="12" style="108" customWidth="1"/>
    <col min="12818" max="12818" width="10.7109375" style="108" customWidth="1"/>
    <col min="12819" max="13056" width="9.140625" style="108"/>
    <col min="13057" max="13057" width="14.85546875" style="108" customWidth="1"/>
    <col min="13058" max="13058" width="12.85546875" style="108" bestFit="1" customWidth="1"/>
    <col min="13059" max="13059" width="10.42578125" style="108" bestFit="1" customWidth="1"/>
    <col min="13060" max="13060" width="26.7109375" style="108" customWidth="1"/>
    <col min="13061" max="13062" width="9.140625" style="108"/>
    <col min="13063" max="13063" width="11.7109375" style="108" customWidth="1"/>
    <col min="13064" max="13066" width="9.140625" style="108"/>
    <col min="13067" max="13067" width="9.42578125" style="108" bestFit="1" customWidth="1"/>
    <col min="13068" max="13068" width="9.28515625" style="108" bestFit="1" customWidth="1"/>
    <col min="13069" max="13069" width="17" style="108" customWidth="1"/>
    <col min="13070" max="13070" width="9.42578125" style="108" bestFit="1" customWidth="1"/>
    <col min="13071" max="13072" width="9.140625" style="108"/>
    <col min="13073" max="13073" width="12" style="108" customWidth="1"/>
    <col min="13074" max="13074" width="10.7109375" style="108" customWidth="1"/>
    <col min="13075" max="13312" width="9.140625" style="108"/>
    <col min="13313" max="13313" width="14.85546875" style="108" customWidth="1"/>
    <col min="13314" max="13314" width="12.85546875" style="108" bestFit="1" customWidth="1"/>
    <col min="13315" max="13315" width="10.42578125" style="108" bestFit="1" customWidth="1"/>
    <col min="13316" max="13316" width="26.7109375" style="108" customWidth="1"/>
    <col min="13317" max="13318" width="9.140625" style="108"/>
    <col min="13319" max="13319" width="11.7109375" style="108" customWidth="1"/>
    <col min="13320" max="13322" width="9.140625" style="108"/>
    <col min="13323" max="13323" width="9.42578125" style="108" bestFit="1" customWidth="1"/>
    <col min="13324" max="13324" width="9.28515625" style="108" bestFit="1" customWidth="1"/>
    <col min="13325" max="13325" width="17" style="108" customWidth="1"/>
    <col min="13326" max="13326" width="9.42578125" style="108" bestFit="1" customWidth="1"/>
    <col min="13327" max="13328" width="9.140625" style="108"/>
    <col min="13329" max="13329" width="12" style="108" customWidth="1"/>
    <col min="13330" max="13330" width="10.7109375" style="108" customWidth="1"/>
    <col min="13331" max="13568" width="9.140625" style="108"/>
    <col min="13569" max="13569" width="14.85546875" style="108" customWidth="1"/>
    <col min="13570" max="13570" width="12.85546875" style="108" bestFit="1" customWidth="1"/>
    <col min="13571" max="13571" width="10.42578125" style="108" bestFit="1" customWidth="1"/>
    <col min="13572" max="13572" width="26.7109375" style="108" customWidth="1"/>
    <col min="13573" max="13574" width="9.140625" style="108"/>
    <col min="13575" max="13575" width="11.7109375" style="108" customWidth="1"/>
    <col min="13576" max="13578" width="9.140625" style="108"/>
    <col min="13579" max="13579" width="9.42578125" style="108" bestFit="1" customWidth="1"/>
    <col min="13580" max="13580" width="9.28515625" style="108" bestFit="1" customWidth="1"/>
    <col min="13581" max="13581" width="17" style="108" customWidth="1"/>
    <col min="13582" max="13582" width="9.42578125" style="108" bestFit="1" customWidth="1"/>
    <col min="13583" max="13584" width="9.140625" style="108"/>
    <col min="13585" max="13585" width="12" style="108" customWidth="1"/>
    <col min="13586" max="13586" width="10.7109375" style="108" customWidth="1"/>
    <col min="13587" max="13824" width="9.140625" style="108"/>
    <col min="13825" max="13825" width="14.85546875" style="108" customWidth="1"/>
    <col min="13826" max="13826" width="12.85546875" style="108" bestFit="1" customWidth="1"/>
    <col min="13827" max="13827" width="10.42578125" style="108" bestFit="1" customWidth="1"/>
    <col min="13828" max="13828" width="26.7109375" style="108" customWidth="1"/>
    <col min="13829" max="13830" width="9.140625" style="108"/>
    <col min="13831" max="13831" width="11.7109375" style="108" customWidth="1"/>
    <col min="13832" max="13834" width="9.140625" style="108"/>
    <col min="13835" max="13835" width="9.42578125" style="108" bestFit="1" customWidth="1"/>
    <col min="13836" max="13836" width="9.28515625" style="108" bestFit="1" customWidth="1"/>
    <col min="13837" max="13837" width="17" style="108" customWidth="1"/>
    <col min="13838" max="13838" width="9.42578125" style="108" bestFit="1" customWidth="1"/>
    <col min="13839" max="13840" width="9.140625" style="108"/>
    <col min="13841" max="13841" width="12" style="108" customWidth="1"/>
    <col min="13842" max="13842" width="10.7109375" style="108" customWidth="1"/>
    <col min="13843" max="14080" width="9.140625" style="108"/>
    <col min="14081" max="14081" width="14.85546875" style="108" customWidth="1"/>
    <col min="14082" max="14082" width="12.85546875" style="108" bestFit="1" customWidth="1"/>
    <col min="14083" max="14083" width="10.42578125" style="108" bestFit="1" customWidth="1"/>
    <col min="14084" max="14084" width="26.7109375" style="108" customWidth="1"/>
    <col min="14085" max="14086" width="9.140625" style="108"/>
    <col min="14087" max="14087" width="11.7109375" style="108" customWidth="1"/>
    <col min="14088" max="14090" width="9.140625" style="108"/>
    <col min="14091" max="14091" width="9.42578125" style="108" bestFit="1" customWidth="1"/>
    <col min="14092" max="14092" width="9.28515625" style="108" bestFit="1" customWidth="1"/>
    <col min="14093" max="14093" width="17" style="108" customWidth="1"/>
    <col min="14094" max="14094" width="9.42578125" style="108" bestFit="1" customWidth="1"/>
    <col min="14095" max="14096" width="9.140625" style="108"/>
    <col min="14097" max="14097" width="12" style="108" customWidth="1"/>
    <col min="14098" max="14098" width="10.7109375" style="108" customWidth="1"/>
    <col min="14099" max="14336" width="9.140625" style="108"/>
    <col min="14337" max="14337" width="14.85546875" style="108" customWidth="1"/>
    <col min="14338" max="14338" width="12.85546875" style="108" bestFit="1" customWidth="1"/>
    <col min="14339" max="14339" width="10.42578125" style="108" bestFit="1" customWidth="1"/>
    <col min="14340" max="14340" width="26.7109375" style="108" customWidth="1"/>
    <col min="14341" max="14342" width="9.140625" style="108"/>
    <col min="14343" max="14343" width="11.7109375" style="108" customWidth="1"/>
    <col min="14344" max="14346" width="9.140625" style="108"/>
    <col min="14347" max="14347" width="9.42578125" style="108" bestFit="1" customWidth="1"/>
    <col min="14348" max="14348" width="9.28515625" style="108" bestFit="1" customWidth="1"/>
    <col min="14349" max="14349" width="17" style="108" customWidth="1"/>
    <col min="14350" max="14350" width="9.42578125" style="108" bestFit="1" customWidth="1"/>
    <col min="14351" max="14352" width="9.140625" style="108"/>
    <col min="14353" max="14353" width="12" style="108" customWidth="1"/>
    <col min="14354" max="14354" width="10.7109375" style="108" customWidth="1"/>
    <col min="14355" max="14592" width="9.140625" style="108"/>
    <col min="14593" max="14593" width="14.85546875" style="108" customWidth="1"/>
    <col min="14594" max="14594" width="12.85546875" style="108" bestFit="1" customWidth="1"/>
    <col min="14595" max="14595" width="10.42578125" style="108" bestFit="1" customWidth="1"/>
    <col min="14596" max="14596" width="26.7109375" style="108" customWidth="1"/>
    <col min="14597" max="14598" width="9.140625" style="108"/>
    <col min="14599" max="14599" width="11.7109375" style="108" customWidth="1"/>
    <col min="14600" max="14602" width="9.140625" style="108"/>
    <col min="14603" max="14603" width="9.42578125" style="108" bestFit="1" customWidth="1"/>
    <col min="14604" max="14604" width="9.28515625" style="108" bestFit="1" customWidth="1"/>
    <col min="14605" max="14605" width="17" style="108" customWidth="1"/>
    <col min="14606" max="14606" width="9.42578125" style="108" bestFit="1" customWidth="1"/>
    <col min="14607" max="14608" width="9.140625" style="108"/>
    <col min="14609" max="14609" width="12" style="108" customWidth="1"/>
    <col min="14610" max="14610" width="10.7109375" style="108" customWidth="1"/>
    <col min="14611" max="14848" width="9.140625" style="108"/>
    <col min="14849" max="14849" width="14.85546875" style="108" customWidth="1"/>
    <col min="14850" max="14850" width="12.85546875" style="108" bestFit="1" customWidth="1"/>
    <col min="14851" max="14851" width="10.42578125" style="108" bestFit="1" customWidth="1"/>
    <col min="14852" max="14852" width="26.7109375" style="108" customWidth="1"/>
    <col min="14853" max="14854" width="9.140625" style="108"/>
    <col min="14855" max="14855" width="11.7109375" style="108" customWidth="1"/>
    <col min="14856" max="14858" width="9.140625" style="108"/>
    <col min="14859" max="14859" width="9.42578125" style="108" bestFit="1" customWidth="1"/>
    <col min="14860" max="14860" width="9.28515625" style="108" bestFit="1" customWidth="1"/>
    <col min="14861" max="14861" width="17" style="108" customWidth="1"/>
    <col min="14862" max="14862" width="9.42578125" style="108" bestFit="1" customWidth="1"/>
    <col min="14863" max="14864" width="9.140625" style="108"/>
    <col min="14865" max="14865" width="12" style="108" customWidth="1"/>
    <col min="14866" max="14866" width="10.7109375" style="108" customWidth="1"/>
    <col min="14867" max="15104" width="9.140625" style="108"/>
    <col min="15105" max="15105" width="14.85546875" style="108" customWidth="1"/>
    <col min="15106" max="15106" width="12.85546875" style="108" bestFit="1" customWidth="1"/>
    <col min="15107" max="15107" width="10.42578125" style="108" bestFit="1" customWidth="1"/>
    <col min="15108" max="15108" width="26.7109375" style="108" customWidth="1"/>
    <col min="15109" max="15110" width="9.140625" style="108"/>
    <col min="15111" max="15111" width="11.7109375" style="108" customWidth="1"/>
    <col min="15112" max="15114" width="9.140625" style="108"/>
    <col min="15115" max="15115" width="9.42578125" style="108" bestFit="1" customWidth="1"/>
    <col min="15116" max="15116" width="9.28515625" style="108" bestFit="1" customWidth="1"/>
    <col min="15117" max="15117" width="17" style="108" customWidth="1"/>
    <col min="15118" max="15118" width="9.42578125" style="108" bestFit="1" customWidth="1"/>
    <col min="15119" max="15120" width="9.140625" style="108"/>
    <col min="15121" max="15121" width="12" style="108" customWidth="1"/>
    <col min="15122" max="15122" width="10.7109375" style="108" customWidth="1"/>
    <col min="15123" max="15360" width="9.140625" style="108"/>
    <col min="15361" max="15361" width="14.85546875" style="108" customWidth="1"/>
    <col min="15362" max="15362" width="12.85546875" style="108" bestFit="1" customWidth="1"/>
    <col min="15363" max="15363" width="10.42578125" style="108" bestFit="1" customWidth="1"/>
    <col min="15364" max="15364" width="26.7109375" style="108" customWidth="1"/>
    <col min="15365" max="15366" width="9.140625" style="108"/>
    <col min="15367" max="15367" width="11.7109375" style="108" customWidth="1"/>
    <col min="15368" max="15370" width="9.140625" style="108"/>
    <col min="15371" max="15371" width="9.42578125" style="108" bestFit="1" customWidth="1"/>
    <col min="15372" max="15372" width="9.28515625" style="108" bestFit="1" customWidth="1"/>
    <col min="15373" max="15373" width="17" style="108" customWidth="1"/>
    <col min="15374" max="15374" width="9.42578125" style="108" bestFit="1" customWidth="1"/>
    <col min="15375" max="15376" width="9.140625" style="108"/>
    <col min="15377" max="15377" width="12" style="108" customWidth="1"/>
    <col min="15378" max="15378" width="10.7109375" style="108" customWidth="1"/>
    <col min="15379" max="15616" width="9.140625" style="108"/>
    <col min="15617" max="15617" width="14.85546875" style="108" customWidth="1"/>
    <col min="15618" max="15618" width="12.85546875" style="108" bestFit="1" customWidth="1"/>
    <col min="15619" max="15619" width="10.42578125" style="108" bestFit="1" customWidth="1"/>
    <col min="15620" max="15620" width="26.7109375" style="108" customWidth="1"/>
    <col min="15621" max="15622" width="9.140625" style="108"/>
    <col min="15623" max="15623" width="11.7109375" style="108" customWidth="1"/>
    <col min="15624" max="15626" width="9.140625" style="108"/>
    <col min="15627" max="15627" width="9.42578125" style="108" bestFit="1" customWidth="1"/>
    <col min="15628" max="15628" width="9.28515625" style="108" bestFit="1" customWidth="1"/>
    <col min="15629" max="15629" width="17" style="108" customWidth="1"/>
    <col min="15630" max="15630" width="9.42578125" style="108" bestFit="1" customWidth="1"/>
    <col min="15631" max="15632" width="9.140625" style="108"/>
    <col min="15633" max="15633" width="12" style="108" customWidth="1"/>
    <col min="15634" max="15634" width="10.7109375" style="108" customWidth="1"/>
    <col min="15635" max="15872" width="9.140625" style="108"/>
    <col min="15873" max="15873" width="14.85546875" style="108" customWidth="1"/>
    <col min="15874" max="15874" width="12.85546875" style="108" bestFit="1" customWidth="1"/>
    <col min="15875" max="15875" width="10.42578125" style="108" bestFit="1" customWidth="1"/>
    <col min="15876" max="15876" width="26.7109375" style="108" customWidth="1"/>
    <col min="15877" max="15878" width="9.140625" style="108"/>
    <col min="15879" max="15879" width="11.7109375" style="108" customWidth="1"/>
    <col min="15880" max="15882" width="9.140625" style="108"/>
    <col min="15883" max="15883" width="9.42578125" style="108" bestFit="1" customWidth="1"/>
    <col min="15884" max="15884" width="9.28515625" style="108" bestFit="1" customWidth="1"/>
    <col min="15885" max="15885" width="17" style="108" customWidth="1"/>
    <col min="15886" max="15886" width="9.42578125" style="108" bestFit="1" customWidth="1"/>
    <col min="15887" max="15888" width="9.140625" style="108"/>
    <col min="15889" max="15889" width="12" style="108" customWidth="1"/>
    <col min="15890" max="15890" width="10.7109375" style="108" customWidth="1"/>
    <col min="15891" max="16128" width="9.140625" style="108"/>
    <col min="16129" max="16129" width="14.85546875" style="108" customWidth="1"/>
    <col min="16130" max="16130" width="12.85546875" style="108" bestFit="1" customWidth="1"/>
    <col min="16131" max="16131" width="10.42578125" style="108" bestFit="1" customWidth="1"/>
    <col min="16132" max="16132" width="26.7109375" style="108" customWidth="1"/>
    <col min="16133" max="16134" width="9.140625" style="108"/>
    <col min="16135" max="16135" width="11.7109375" style="108" customWidth="1"/>
    <col min="16136" max="16138" width="9.140625" style="108"/>
    <col min="16139" max="16139" width="9.42578125" style="108" bestFit="1" customWidth="1"/>
    <col min="16140" max="16140" width="9.28515625" style="108" bestFit="1" customWidth="1"/>
    <col min="16141" max="16141" width="17" style="108" customWidth="1"/>
    <col min="16142" max="16142" width="9.42578125" style="108" bestFit="1" customWidth="1"/>
    <col min="16143" max="16144" width="9.140625" style="108"/>
    <col min="16145" max="16145" width="12" style="108" customWidth="1"/>
    <col min="16146" max="16146" width="10.7109375" style="108" customWidth="1"/>
    <col min="16147" max="16384" width="9.140625" style="108"/>
  </cols>
  <sheetData>
    <row r="1" spans="1:16" x14ac:dyDescent="0.25">
      <c r="A1" s="107" t="s">
        <v>108</v>
      </c>
    </row>
    <row r="2" spans="1:16" x14ac:dyDescent="0.25">
      <c r="A2" s="109" t="s">
        <v>109</v>
      </c>
      <c r="C2" s="110"/>
      <c r="D2" s="110"/>
      <c r="E2" s="110"/>
      <c r="K2" s="109" t="s">
        <v>110</v>
      </c>
      <c r="L2" s="111" t="s">
        <v>111</v>
      </c>
      <c r="M2" s="111" t="s">
        <v>112</v>
      </c>
    </row>
    <row r="3" spans="1:16" ht="15.75" thickBot="1" x14ac:dyDescent="0.3">
      <c r="B3" s="112">
        <f>(((A14/B6+B10)*B8)+B12)/12</f>
        <v>5629.2268642345834</v>
      </c>
      <c r="C3" s="113" t="s">
        <v>113</v>
      </c>
      <c r="D3" s="114" t="s">
        <v>114</v>
      </c>
      <c r="E3" s="114"/>
      <c r="F3" s="114"/>
      <c r="G3" s="114"/>
      <c r="H3" s="193" t="s">
        <v>115</v>
      </c>
      <c r="K3" s="115" t="s">
        <v>116</v>
      </c>
      <c r="L3" s="116">
        <f>B3/B8</f>
        <v>5.2807006231093654</v>
      </c>
      <c r="M3" s="117">
        <f>L3/20/9.73*B8</f>
        <v>28.927167853209575</v>
      </c>
      <c r="N3" s="118" t="s">
        <v>117</v>
      </c>
      <c r="O3" s="119"/>
      <c r="P3" s="119"/>
    </row>
    <row r="4" spans="1:16" x14ac:dyDescent="0.25">
      <c r="B4" s="115" t="s">
        <v>118</v>
      </c>
      <c r="C4" s="113"/>
      <c r="D4" s="194">
        <v>12</v>
      </c>
      <c r="E4" s="194"/>
      <c r="F4" s="194"/>
      <c r="G4" s="194"/>
      <c r="H4" s="193"/>
      <c r="K4" s="115" t="s">
        <v>119</v>
      </c>
      <c r="L4" s="120">
        <f>L3*1.21</f>
        <v>6.3896477539623318</v>
      </c>
      <c r="N4" s="119"/>
      <c r="O4" s="119"/>
      <c r="P4" s="119"/>
    </row>
    <row r="5" spans="1:16" x14ac:dyDescent="0.25">
      <c r="C5" s="110"/>
      <c r="D5" s="110"/>
      <c r="E5" s="110"/>
      <c r="K5" s="121"/>
    </row>
    <row r="6" spans="1:16" x14ac:dyDescent="0.25">
      <c r="B6" s="122">
        <v>3865</v>
      </c>
      <c r="C6" s="108" t="s">
        <v>120</v>
      </c>
      <c r="D6" s="123" t="s">
        <v>121</v>
      </c>
    </row>
    <row r="7" spans="1:16" ht="4.5" customHeight="1" x14ac:dyDescent="0.25">
      <c r="B7" s="124"/>
      <c r="D7" s="123"/>
    </row>
    <row r="8" spans="1:16" x14ac:dyDescent="0.25">
      <c r="A8" s="125">
        <f>B8/B6</f>
        <v>0.27580853816300127</v>
      </c>
      <c r="B8" s="126">
        <v>1066</v>
      </c>
      <c r="C8" s="108" t="s">
        <v>122</v>
      </c>
      <c r="D8" s="127" t="s">
        <v>123</v>
      </c>
      <c r="E8" s="127"/>
    </row>
    <row r="9" spans="1:16" ht="5.25" customHeight="1" x14ac:dyDescent="0.25">
      <c r="B9" s="124"/>
      <c r="D9" s="123"/>
    </row>
    <row r="10" spans="1:16" x14ac:dyDescent="0.25">
      <c r="B10" s="126">
        <f>A46</f>
        <v>21.515880155239319</v>
      </c>
      <c r="C10" s="108" t="s">
        <v>124</v>
      </c>
      <c r="D10" s="127" t="s">
        <v>125</v>
      </c>
    </row>
    <row r="11" spans="1:16" ht="6.75" customHeight="1" x14ac:dyDescent="0.25">
      <c r="C11" s="127"/>
    </row>
    <row r="12" spans="1:16" ht="45" customHeight="1" x14ac:dyDescent="0.25">
      <c r="B12" s="128">
        <v>28</v>
      </c>
      <c r="C12" s="129" t="s">
        <v>126</v>
      </c>
      <c r="D12" s="130" t="s">
        <v>127</v>
      </c>
    </row>
    <row r="13" spans="1:16" ht="6.75" customHeight="1" x14ac:dyDescent="0.25">
      <c r="C13" s="127"/>
    </row>
    <row r="14" spans="1:16" x14ac:dyDescent="0.25">
      <c r="A14" s="126">
        <f>B23+B28+B30+B32+B34+B35+B36+B37/B43</f>
        <v>161658.49839999998</v>
      </c>
      <c r="B14" s="108" t="s">
        <v>128</v>
      </c>
      <c r="C14" s="108" t="s">
        <v>129</v>
      </c>
    </row>
    <row r="16" spans="1:16" x14ac:dyDescent="0.25">
      <c r="D16" s="123" t="s">
        <v>130</v>
      </c>
    </row>
    <row r="17" spans="1:18" x14ac:dyDescent="0.25">
      <c r="D17" s="131"/>
    </row>
    <row r="18" spans="1:18" x14ac:dyDescent="0.25">
      <c r="D18" s="132" t="s">
        <v>131</v>
      </c>
    </row>
    <row r="19" spans="1:18" x14ac:dyDescent="0.25">
      <c r="D19" s="133"/>
    </row>
    <row r="20" spans="1:18" x14ac:dyDescent="0.25">
      <c r="D20" s="134" t="s">
        <v>132</v>
      </c>
    </row>
    <row r="23" spans="1:18" ht="15.75" customHeight="1" x14ac:dyDescent="0.25">
      <c r="B23" s="126">
        <f>C73</f>
        <v>100473.83</v>
      </c>
      <c r="C23" s="108" t="s">
        <v>133</v>
      </c>
      <c r="D23" s="192" t="s">
        <v>134</v>
      </c>
      <c r="E23" s="192"/>
      <c r="F23" s="192"/>
      <c r="G23" s="192"/>
      <c r="H23" s="192"/>
      <c r="I23" s="192"/>
      <c r="J23" s="192"/>
      <c r="K23" s="192"/>
      <c r="L23" s="192"/>
      <c r="M23" s="192"/>
      <c r="N23" s="192"/>
      <c r="O23" s="192"/>
      <c r="P23" s="192"/>
      <c r="Q23" s="192"/>
      <c r="R23" s="129"/>
    </row>
    <row r="24" spans="1:18" ht="15.75" customHeight="1" x14ac:dyDescent="0.25">
      <c r="B24" s="126"/>
      <c r="D24" s="192" t="s">
        <v>135</v>
      </c>
      <c r="E24" s="192"/>
      <c r="F24" s="192"/>
      <c r="G24" s="192"/>
      <c r="H24" s="192"/>
      <c r="I24" s="192"/>
      <c r="J24" s="192"/>
      <c r="K24" s="192"/>
      <c r="L24" s="192"/>
      <c r="M24" s="192"/>
      <c r="N24" s="192"/>
      <c r="O24" s="192"/>
      <c r="P24" s="192"/>
      <c r="Q24" s="192"/>
      <c r="R24" s="135"/>
    </row>
    <row r="25" spans="1:18" ht="15.75" customHeight="1" x14ac:dyDescent="0.25">
      <c r="A25" s="109"/>
      <c r="B25" s="126"/>
      <c r="D25" s="192" t="s">
        <v>136</v>
      </c>
      <c r="E25" s="192"/>
      <c r="F25" s="192"/>
      <c r="G25" s="192"/>
      <c r="H25" s="192"/>
      <c r="I25" s="192"/>
      <c r="J25" s="192"/>
      <c r="K25" s="192"/>
      <c r="L25" s="192"/>
      <c r="M25" s="192"/>
      <c r="N25" s="192"/>
      <c r="O25" s="192"/>
      <c r="P25" s="192"/>
      <c r="Q25" s="192"/>
      <c r="R25" s="135"/>
    </row>
    <row r="26" spans="1:18" ht="15.75" customHeight="1" x14ac:dyDescent="0.25">
      <c r="A26" s="109" t="s">
        <v>133</v>
      </c>
      <c r="B26" s="126"/>
      <c r="D26" s="192" t="s">
        <v>137</v>
      </c>
      <c r="E26" s="192"/>
      <c r="F26" s="192"/>
      <c r="G26" s="192"/>
      <c r="H26" s="192"/>
      <c r="I26" s="192"/>
      <c r="J26" s="192"/>
      <c r="K26" s="192"/>
      <c r="L26" s="192"/>
      <c r="M26" s="192"/>
      <c r="N26" s="192"/>
      <c r="O26" s="192"/>
      <c r="P26" s="192"/>
      <c r="Q26" s="192"/>
      <c r="R26" s="135"/>
    </row>
    <row r="27" spans="1:18" ht="15" customHeight="1" x14ac:dyDescent="0.25">
      <c r="B27" s="126"/>
      <c r="D27" s="192" t="s">
        <v>138</v>
      </c>
      <c r="E27" s="192"/>
      <c r="F27" s="192"/>
      <c r="G27" s="192"/>
      <c r="H27" s="192"/>
      <c r="I27" s="192"/>
      <c r="J27" s="192"/>
      <c r="K27" s="192"/>
      <c r="L27" s="192"/>
      <c r="M27" s="192"/>
      <c r="N27" s="192"/>
      <c r="O27" s="192"/>
      <c r="P27" s="192"/>
      <c r="Q27" s="192"/>
      <c r="R27" s="135"/>
    </row>
    <row r="28" spans="1:18" ht="15" customHeight="1" x14ac:dyDescent="0.25">
      <c r="B28" s="126">
        <f>C76</f>
        <v>27518.198400000001</v>
      </c>
      <c r="C28" s="108" t="s">
        <v>139</v>
      </c>
      <c r="D28" s="192" t="s">
        <v>140</v>
      </c>
      <c r="E28" s="192"/>
      <c r="F28" s="192"/>
      <c r="G28" s="192"/>
      <c r="H28" s="192"/>
      <c r="I28" s="192"/>
      <c r="J28" s="192"/>
      <c r="K28" s="192"/>
      <c r="L28" s="192"/>
      <c r="M28" s="192"/>
      <c r="N28" s="192"/>
      <c r="O28" s="192"/>
      <c r="P28" s="192"/>
      <c r="Q28" s="192"/>
      <c r="R28" s="135"/>
    </row>
    <row r="29" spans="1:18" x14ac:dyDescent="0.25">
      <c r="B29" s="124"/>
      <c r="D29" s="108" t="s">
        <v>141</v>
      </c>
    </row>
    <row r="30" spans="1:18" ht="15" customHeight="1" x14ac:dyDescent="0.25">
      <c r="A30" s="136"/>
      <c r="B30" s="126">
        <f>[3]Tame!B107</f>
        <v>6984.36</v>
      </c>
      <c r="C30" s="108" t="s">
        <v>142</v>
      </c>
      <c r="D30" s="192" t="s">
        <v>143</v>
      </c>
      <c r="E30" s="192"/>
      <c r="F30" s="192"/>
      <c r="G30" s="192"/>
      <c r="H30" s="192"/>
      <c r="I30" s="192"/>
      <c r="J30" s="192"/>
      <c r="K30" s="192"/>
      <c r="L30" s="192"/>
      <c r="M30" s="192"/>
      <c r="N30" s="192"/>
      <c r="O30" s="192"/>
      <c r="P30" s="192"/>
      <c r="Q30" s="192"/>
      <c r="R30" s="135"/>
    </row>
    <row r="31" spans="1:18" x14ac:dyDescent="0.25">
      <c r="B31" s="124"/>
      <c r="D31" s="108" t="s">
        <v>144</v>
      </c>
    </row>
    <row r="32" spans="1:18" x14ac:dyDescent="0.25">
      <c r="B32" s="126">
        <f>[3]Tame!D87</f>
        <v>26333.61</v>
      </c>
      <c r="C32" s="108" t="s">
        <v>145</v>
      </c>
      <c r="D32" s="108" t="s">
        <v>146</v>
      </c>
    </row>
    <row r="33" spans="1:18" x14ac:dyDescent="0.25">
      <c r="B33" s="124"/>
      <c r="D33" s="108" t="s">
        <v>147</v>
      </c>
    </row>
    <row r="34" spans="1:18" x14ac:dyDescent="0.25">
      <c r="A34" s="109" t="s">
        <v>133</v>
      </c>
      <c r="B34" s="126">
        <f>[3]Tame!D60</f>
        <v>348.5</v>
      </c>
      <c r="C34" s="108" t="s">
        <v>148</v>
      </c>
      <c r="D34" s="108" t="s">
        <v>149</v>
      </c>
    </row>
    <row r="35" spans="1:18" ht="60" x14ac:dyDescent="0.25">
      <c r="B35" s="126">
        <v>0</v>
      </c>
      <c r="C35" s="129" t="s">
        <v>150</v>
      </c>
      <c r="D35" s="108" t="s">
        <v>151</v>
      </c>
    </row>
    <row r="36" spans="1:18" x14ac:dyDescent="0.25">
      <c r="B36" s="126"/>
      <c r="C36" s="108" t="s">
        <v>152</v>
      </c>
      <c r="D36" s="108" t="s">
        <v>153</v>
      </c>
    </row>
    <row r="37" spans="1:18" ht="17.25" customHeight="1" x14ac:dyDescent="0.25">
      <c r="B37" s="126">
        <v>0</v>
      </c>
      <c r="C37" s="108" t="s">
        <v>154</v>
      </c>
      <c r="D37" s="192" t="s">
        <v>155</v>
      </c>
      <c r="E37" s="192"/>
      <c r="F37" s="192"/>
      <c r="G37" s="192"/>
      <c r="H37" s="192"/>
      <c r="I37" s="192"/>
      <c r="J37" s="192"/>
      <c r="K37" s="192"/>
      <c r="L37" s="192"/>
      <c r="M37" s="192"/>
      <c r="N37" s="192"/>
      <c r="O37" s="192"/>
      <c r="P37" s="192"/>
      <c r="Q37" s="192"/>
      <c r="R37" s="135"/>
    </row>
    <row r="38" spans="1:18" ht="17.25" customHeight="1" x14ac:dyDescent="0.25">
      <c r="B38" s="126"/>
      <c r="D38" s="192" t="s">
        <v>156</v>
      </c>
      <c r="E38" s="192"/>
      <c r="F38" s="192"/>
      <c r="G38" s="192"/>
      <c r="H38" s="192"/>
      <c r="I38" s="192"/>
      <c r="J38" s="192"/>
      <c r="K38" s="192"/>
      <c r="L38" s="192"/>
      <c r="M38" s="192"/>
      <c r="N38" s="192"/>
      <c r="O38" s="192"/>
      <c r="P38" s="192"/>
      <c r="Q38" s="192"/>
      <c r="R38" s="135"/>
    </row>
    <row r="39" spans="1:18" ht="17.25" customHeight="1" x14ac:dyDescent="0.25">
      <c r="B39" s="126"/>
      <c r="D39" s="192" t="s">
        <v>157</v>
      </c>
      <c r="E39" s="192"/>
      <c r="F39" s="192"/>
      <c r="G39" s="192"/>
      <c r="H39" s="192"/>
      <c r="I39" s="192"/>
      <c r="J39" s="192"/>
      <c r="K39" s="192"/>
      <c r="L39" s="192"/>
      <c r="M39" s="192"/>
      <c r="N39" s="192"/>
      <c r="O39" s="192"/>
      <c r="P39" s="192"/>
      <c r="Q39" s="192"/>
      <c r="R39" s="135"/>
    </row>
    <row r="40" spans="1:18" ht="18.75" customHeight="1" x14ac:dyDescent="0.25">
      <c r="B40" s="126"/>
      <c r="D40" s="192" t="s">
        <v>158</v>
      </c>
      <c r="E40" s="192"/>
      <c r="F40" s="192"/>
      <c r="G40" s="192"/>
      <c r="H40" s="192"/>
      <c r="I40" s="192"/>
      <c r="J40" s="192"/>
      <c r="K40" s="192"/>
      <c r="L40" s="192"/>
      <c r="M40" s="192"/>
      <c r="N40" s="192"/>
      <c r="O40" s="192"/>
      <c r="P40" s="192"/>
      <c r="Q40" s="192"/>
      <c r="R40" s="135"/>
    </row>
    <row r="41" spans="1:18" ht="14.25" customHeight="1" x14ac:dyDescent="0.25">
      <c r="B41" s="126"/>
      <c r="D41" s="192" t="s">
        <v>159</v>
      </c>
      <c r="E41" s="192"/>
      <c r="F41" s="192"/>
      <c r="G41" s="192"/>
      <c r="H41" s="192"/>
      <c r="I41" s="192"/>
      <c r="J41" s="192"/>
      <c r="K41" s="192"/>
      <c r="L41" s="192"/>
      <c r="M41" s="192"/>
      <c r="N41" s="192"/>
      <c r="O41" s="192"/>
      <c r="P41" s="192"/>
      <c r="Q41" s="192"/>
      <c r="R41" s="135"/>
    </row>
    <row r="42" spans="1:18" ht="15" customHeight="1" x14ac:dyDescent="0.25">
      <c r="B42" s="126"/>
      <c r="D42" s="192" t="s">
        <v>160</v>
      </c>
      <c r="E42" s="192"/>
      <c r="F42" s="192"/>
      <c r="G42" s="192"/>
      <c r="H42" s="192"/>
      <c r="I42" s="192"/>
      <c r="J42" s="192"/>
      <c r="K42" s="192"/>
      <c r="L42" s="192"/>
      <c r="M42" s="192"/>
      <c r="N42" s="192"/>
      <c r="O42" s="192"/>
      <c r="P42" s="192"/>
      <c r="Q42" s="192"/>
      <c r="R42" s="135"/>
    </row>
    <row r="43" spans="1:18" ht="15" customHeight="1" x14ac:dyDescent="0.25">
      <c r="B43" s="126">
        <v>1</v>
      </c>
      <c r="C43" s="108" t="s">
        <v>161</v>
      </c>
      <c r="D43" s="192" t="s">
        <v>162</v>
      </c>
      <c r="E43" s="192"/>
      <c r="F43" s="192"/>
      <c r="G43" s="192"/>
      <c r="H43" s="192"/>
      <c r="I43" s="192"/>
      <c r="J43" s="192"/>
      <c r="K43" s="192"/>
      <c r="L43" s="192"/>
      <c r="M43" s="192"/>
      <c r="N43" s="192"/>
      <c r="O43" s="192"/>
      <c r="P43" s="192"/>
      <c r="Q43" s="192"/>
      <c r="R43" s="135"/>
    </row>
    <row r="44" spans="1:18" x14ac:dyDescent="0.25">
      <c r="B44" s="126"/>
      <c r="D44" s="135" t="s">
        <v>163</v>
      </c>
      <c r="E44" s="135"/>
      <c r="F44" s="135"/>
      <c r="G44" s="135"/>
      <c r="H44" s="135"/>
      <c r="I44" s="135"/>
      <c r="J44" s="135"/>
      <c r="K44" s="135"/>
      <c r="L44" s="135"/>
      <c r="M44" s="135"/>
      <c r="N44" s="135"/>
      <c r="O44" s="135"/>
      <c r="P44" s="135"/>
      <c r="Q44" s="135"/>
      <c r="R44" s="135"/>
    </row>
    <row r="46" spans="1:18" ht="30" customHeight="1" x14ac:dyDescent="0.25">
      <c r="A46" s="137">
        <f>B52*B54/B56</f>
        <v>21.515880155239319</v>
      </c>
      <c r="B46" s="108" t="s">
        <v>124</v>
      </c>
      <c r="C46" s="190" t="s">
        <v>164</v>
      </c>
      <c r="D46" s="190"/>
      <c r="E46" s="190"/>
      <c r="F46" s="190"/>
      <c r="G46" s="190"/>
      <c r="H46" s="190"/>
      <c r="I46" s="190"/>
      <c r="J46" s="190"/>
      <c r="K46" s="190"/>
      <c r="L46" s="190"/>
      <c r="M46" s="190"/>
      <c r="N46" s="190"/>
      <c r="O46" s="190"/>
      <c r="P46" s="190"/>
      <c r="Q46" s="190"/>
    </row>
    <row r="48" spans="1:18" x14ac:dyDescent="0.25">
      <c r="E48" s="138" t="s">
        <v>165</v>
      </c>
    </row>
    <row r="50" spans="1:17" x14ac:dyDescent="0.25">
      <c r="E50" s="138" t="s">
        <v>166</v>
      </c>
    </row>
    <row r="52" spans="1:17" ht="46.5" customHeight="1" x14ac:dyDescent="0.25">
      <c r="B52" s="139">
        <f>C89</f>
        <v>83158.876799999969</v>
      </c>
      <c r="C52" s="108" t="s">
        <v>167</v>
      </c>
      <c r="D52" s="190" t="s">
        <v>168</v>
      </c>
      <c r="E52" s="190"/>
      <c r="F52" s="190"/>
      <c r="G52" s="190"/>
      <c r="H52" s="190"/>
      <c r="I52" s="190"/>
      <c r="J52" s="190"/>
      <c r="K52" s="190"/>
      <c r="L52" s="190"/>
      <c r="M52" s="190"/>
      <c r="N52" s="190"/>
      <c r="O52" s="190"/>
      <c r="P52" s="190"/>
      <c r="Q52" s="190"/>
    </row>
    <row r="53" spans="1:17" s="110" customFormat="1" ht="7.5" customHeight="1" x14ac:dyDescent="0.25">
      <c r="D53" s="140"/>
      <c r="E53" s="140"/>
      <c r="F53" s="140"/>
      <c r="G53" s="140"/>
      <c r="H53" s="140"/>
      <c r="I53" s="140"/>
      <c r="J53" s="140"/>
      <c r="K53" s="140"/>
      <c r="L53" s="140"/>
      <c r="M53" s="140"/>
      <c r="N53" s="140"/>
      <c r="O53" s="140"/>
      <c r="P53" s="140"/>
      <c r="Q53" s="140"/>
    </row>
    <row r="54" spans="1:17" ht="32.25" customHeight="1" x14ac:dyDescent="0.25">
      <c r="B54" s="141">
        <v>1</v>
      </c>
      <c r="C54" s="108" t="s">
        <v>169</v>
      </c>
      <c r="D54" s="190" t="s">
        <v>170</v>
      </c>
      <c r="E54" s="190"/>
      <c r="F54" s="190"/>
      <c r="G54" s="190"/>
      <c r="H54" s="190"/>
      <c r="I54" s="190"/>
      <c r="J54" s="190"/>
      <c r="K54" s="190"/>
      <c r="L54" s="190"/>
      <c r="M54" s="190"/>
      <c r="N54" s="190"/>
      <c r="O54" s="190"/>
      <c r="P54" s="190"/>
      <c r="Q54" s="190"/>
    </row>
    <row r="55" spans="1:17" ht="6" customHeight="1" x14ac:dyDescent="0.25"/>
    <row r="56" spans="1:17" x14ac:dyDescent="0.25">
      <c r="B56" s="126">
        <v>3865</v>
      </c>
      <c r="C56" s="108" t="s">
        <v>171</v>
      </c>
      <c r="D56" s="138" t="s">
        <v>172</v>
      </c>
    </row>
    <row r="59" spans="1:17" x14ac:dyDescent="0.25">
      <c r="A59" s="144"/>
      <c r="C59" s="142"/>
      <c r="D59" s="142"/>
      <c r="E59" s="142"/>
      <c r="F59" s="142"/>
    </row>
    <row r="60" spans="1:17" x14ac:dyDescent="0.25">
      <c r="A60" s="154"/>
      <c r="B60" s="155" t="s">
        <v>173</v>
      </c>
      <c r="C60" s="156"/>
      <c r="D60" s="156"/>
      <c r="E60" s="156"/>
      <c r="F60" s="156"/>
      <c r="G60" s="154"/>
    </row>
    <row r="61" spans="1:17" x14ac:dyDescent="0.25">
      <c r="A61" s="154"/>
      <c r="B61" s="154">
        <v>2222</v>
      </c>
      <c r="C61" s="157">
        <f>[3]Tame!D48</f>
        <v>4994.1900000000005</v>
      </c>
      <c r="D61" s="158" t="s">
        <v>174</v>
      </c>
      <c r="E61" s="154"/>
      <c r="F61" s="154"/>
      <c r="G61" s="154"/>
    </row>
    <row r="62" spans="1:17" x14ac:dyDescent="0.25">
      <c r="A62" s="154"/>
      <c r="B62" s="154">
        <v>2223</v>
      </c>
      <c r="C62" s="157">
        <f>[3]Tame!D49</f>
        <v>13341.41</v>
      </c>
      <c r="D62" s="159" t="s">
        <v>175</v>
      </c>
      <c r="E62" s="154"/>
      <c r="F62" s="154"/>
      <c r="G62" s="154"/>
    </row>
    <row r="63" spans="1:17" x14ac:dyDescent="0.25">
      <c r="A63" s="154"/>
      <c r="B63" s="154">
        <v>2229</v>
      </c>
      <c r="C63" s="145">
        <f>[3]Tame!D50</f>
        <v>0</v>
      </c>
      <c r="D63" s="160" t="s">
        <v>176</v>
      </c>
      <c r="E63" s="154"/>
      <c r="F63" s="154"/>
      <c r="G63" s="154"/>
    </row>
    <row r="64" spans="1:17" x14ac:dyDescent="0.25">
      <c r="A64" s="154"/>
      <c r="B64" s="154">
        <v>2239</v>
      </c>
      <c r="C64" s="145">
        <f>[3]Tame!D55</f>
        <v>1140.25</v>
      </c>
      <c r="D64" s="160" t="s">
        <v>177</v>
      </c>
      <c r="E64" s="154"/>
      <c r="F64" s="154"/>
      <c r="G64" s="154"/>
    </row>
    <row r="65" spans="1:7" x14ac:dyDescent="0.25">
      <c r="A65" s="154"/>
      <c r="B65" s="154">
        <v>2241</v>
      </c>
      <c r="C65" s="145">
        <f>[3]Tame!D57</f>
        <v>35694.43</v>
      </c>
      <c r="D65" s="156" t="s">
        <v>178</v>
      </c>
      <c r="E65" s="154"/>
      <c r="F65" s="154"/>
      <c r="G65" s="154"/>
    </row>
    <row r="66" spans="1:7" x14ac:dyDescent="0.25">
      <c r="A66" s="154"/>
      <c r="B66" s="154">
        <v>2243</v>
      </c>
      <c r="C66" s="145">
        <v>4500</v>
      </c>
      <c r="D66" s="160" t="s">
        <v>179</v>
      </c>
      <c r="E66" s="160"/>
      <c r="F66" s="154"/>
      <c r="G66" s="154"/>
    </row>
    <row r="67" spans="1:7" x14ac:dyDescent="0.25">
      <c r="A67" s="154"/>
      <c r="B67" s="154">
        <v>2244</v>
      </c>
      <c r="C67" s="145">
        <f>[3]Tame!D59</f>
        <v>2513</v>
      </c>
      <c r="D67" s="160" t="s">
        <v>180</v>
      </c>
      <c r="E67" s="154"/>
      <c r="F67" s="154"/>
      <c r="G67" s="154"/>
    </row>
    <row r="68" spans="1:7" x14ac:dyDescent="0.25">
      <c r="A68" s="154"/>
      <c r="B68" s="154">
        <v>2249</v>
      </c>
      <c r="C68" s="145">
        <f>[3]Tame!D61</f>
        <v>4998.63</v>
      </c>
      <c r="D68" s="160" t="s">
        <v>181</v>
      </c>
      <c r="E68" s="154"/>
      <c r="F68" s="154"/>
      <c r="G68" s="154"/>
    </row>
    <row r="69" spans="1:7" x14ac:dyDescent="0.25">
      <c r="A69" s="154"/>
      <c r="B69" s="154">
        <v>2321</v>
      </c>
      <c r="C69" s="145">
        <f>[3]Tame!D71</f>
        <v>27947.64</v>
      </c>
      <c r="D69" s="160" t="s">
        <v>182</v>
      </c>
      <c r="E69" s="154"/>
      <c r="F69" s="154"/>
      <c r="G69" s="154"/>
    </row>
    <row r="70" spans="1:7" x14ac:dyDescent="0.25">
      <c r="A70" s="154"/>
      <c r="B70" s="154">
        <v>2341</v>
      </c>
      <c r="C70" s="145">
        <f>[3]Tame!D74</f>
        <v>49.26</v>
      </c>
      <c r="D70" s="160" t="s">
        <v>183</v>
      </c>
      <c r="E70" s="154"/>
      <c r="F70" s="154"/>
      <c r="G70" s="154"/>
    </row>
    <row r="71" spans="1:7" x14ac:dyDescent="0.25">
      <c r="A71" s="154"/>
      <c r="B71" s="154">
        <v>2312</v>
      </c>
      <c r="C71" s="145"/>
      <c r="D71" s="160"/>
      <c r="E71" s="154"/>
      <c r="F71" s="154"/>
      <c r="G71" s="154"/>
    </row>
    <row r="72" spans="1:7" x14ac:dyDescent="0.25">
      <c r="A72" s="154"/>
      <c r="B72" s="154">
        <v>2350</v>
      </c>
      <c r="C72" s="145">
        <f>[3]Tame!D75</f>
        <v>5295.02</v>
      </c>
      <c r="D72" s="160" t="s">
        <v>184</v>
      </c>
      <c r="E72" s="154"/>
      <c r="F72" s="154"/>
      <c r="G72" s="154"/>
    </row>
    <row r="73" spans="1:7" x14ac:dyDescent="0.25">
      <c r="A73" s="161" t="s">
        <v>185</v>
      </c>
      <c r="B73" s="161"/>
      <c r="C73" s="148">
        <f>SUM(C61:C72)</f>
        <v>100473.83</v>
      </c>
      <c r="D73" s="191"/>
      <c r="E73" s="191"/>
      <c r="F73" s="191"/>
      <c r="G73" s="191"/>
    </row>
    <row r="74" spans="1:7" x14ac:dyDescent="0.25">
      <c r="A74" s="154"/>
      <c r="B74" s="154"/>
      <c r="C74" s="162"/>
      <c r="D74" s="191"/>
      <c r="E74" s="191"/>
      <c r="F74" s="191"/>
      <c r="G74" s="191"/>
    </row>
    <row r="75" spans="1:7" x14ac:dyDescent="0.25">
      <c r="A75" s="154"/>
      <c r="B75" s="154"/>
      <c r="C75" s="152">
        <f>(462*4)*1.2409*12</f>
        <v>27518.198400000001</v>
      </c>
      <c r="D75" s="160" t="s">
        <v>186</v>
      </c>
      <c r="E75" s="160"/>
      <c r="F75" s="160"/>
      <c r="G75" s="160"/>
    </row>
    <row r="76" spans="1:7" x14ac:dyDescent="0.25">
      <c r="A76" s="161" t="s">
        <v>187</v>
      </c>
      <c r="B76" s="161"/>
      <c r="C76" s="148">
        <f>SUM(C75:C75)</f>
        <v>27518.198400000001</v>
      </c>
      <c r="D76" s="160"/>
      <c r="E76" s="160"/>
      <c r="F76" s="160"/>
      <c r="G76" s="160"/>
    </row>
    <row r="77" spans="1:7" x14ac:dyDescent="0.25">
      <c r="A77" s="154"/>
      <c r="B77" s="154"/>
      <c r="C77" s="162"/>
      <c r="D77" s="160"/>
      <c r="E77" s="160"/>
      <c r="F77" s="160"/>
      <c r="G77" s="160"/>
    </row>
    <row r="78" spans="1:7" x14ac:dyDescent="0.25">
      <c r="A78" s="154"/>
      <c r="B78" s="154"/>
      <c r="C78" s="152">
        <f>(1725+1244)*1.2409*12</f>
        <v>44210.785199999998</v>
      </c>
      <c r="D78" s="160" t="s">
        <v>188</v>
      </c>
      <c r="E78" s="154"/>
      <c r="F78" s="154"/>
      <c r="G78" s="154"/>
    </row>
    <row r="79" spans="1:7" x14ac:dyDescent="0.25">
      <c r="A79" s="154"/>
      <c r="B79" s="154"/>
      <c r="C79" s="152">
        <f>709*3*1.2409*12</f>
        <v>31672.731599999999</v>
      </c>
      <c r="D79" s="160" t="s">
        <v>189</v>
      </c>
      <c r="E79" s="160"/>
      <c r="F79" s="160"/>
      <c r="G79" s="160"/>
    </row>
    <row r="80" spans="1:7" x14ac:dyDescent="0.25">
      <c r="A80" s="154"/>
      <c r="B80" s="154">
        <v>2211</v>
      </c>
      <c r="C80" s="154">
        <f>[3]Tame!D45</f>
        <v>478.4</v>
      </c>
      <c r="D80" s="154" t="s">
        <v>190</v>
      </c>
      <c r="E80" s="154"/>
      <c r="F80" s="154"/>
      <c r="G80" s="154"/>
    </row>
    <row r="81" spans="1:7" x14ac:dyDescent="0.25">
      <c r="A81" s="154"/>
      <c r="B81" s="154">
        <v>2219</v>
      </c>
      <c r="C81" s="154">
        <f>[3]Tame!D46</f>
        <v>1353.5900000000001</v>
      </c>
      <c r="D81" s="160" t="s">
        <v>191</v>
      </c>
      <c r="E81" s="154"/>
      <c r="F81" s="154"/>
      <c r="G81" s="154"/>
    </row>
    <row r="82" spans="1:7" x14ac:dyDescent="0.25">
      <c r="A82" s="154"/>
      <c r="B82" s="154">
        <v>2234</v>
      </c>
      <c r="C82" s="154">
        <f>[3]Tame!D53</f>
        <v>143.47999999999999</v>
      </c>
      <c r="D82" s="160" t="s">
        <v>192</v>
      </c>
      <c r="E82" s="154"/>
      <c r="F82" s="154"/>
      <c r="G82" s="154"/>
    </row>
    <row r="83" spans="1:7" x14ac:dyDescent="0.25">
      <c r="B83" s="108">
        <v>2236</v>
      </c>
      <c r="C83" s="108">
        <f>[3]Tame!D54</f>
        <v>0</v>
      </c>
      <c r="D83" s="146" t="s">
        <v>193</v>
      </c>
    </row>
    <row r="84" spans="1:7" x14ac:dyDescent="0.25">
      <c r="B84" s="108">
        <v>2264</v>
      </c>
      <c r="C84" s="108">
        <f>[3]Tame!D63</f>
        <v>80.400000000000006</v>
      </c>
      <c r="D84" s="146" t="s">
        <v>194</v>
      </c>
    </row>
    <row r="85" spans="1:7" x14ac:dyDescent="0.25">
      <c r="B85" s="108">
        <v>2311</v>
      </c>
      <c r="C85" s="108">
        <f>[3]Tame!D68</f>
        <v>1016.0799999999999</v>
      </c>
      <c r="D85" s="146" t="s">
        <v>195</v>
      </c>
    </row>
    <row r="86" spans="1:7" x14ac:dyDescent="0.25">
      <c r="B86" s="108">
        <v>2312</v>
      </c>
      <c r="C86" s="108">
        <f>[3]Tame!D69</f>
        <v>1608.7800000000002</v>
      </c>
      <c r="D86" s="146" t="s">
        <v>66</v>
      </c>
    </row>
    <row r="87" spans="1:7" x14ac:dyDescent="0.25">
      <c r="B87" s="108">
        <v>2322</v>
      </c>
      <c r="C87" s="108">
        <f>[3]Tame!D72</f>
        <v>716.98</v>
      </c>
      <c r="D87" s="146" t="s">
        <v>196</v>
      </c>
    </row>
    <row r="88" spans="1:7" x14ac:dyDescent="0.25">
      <c r="B88" s="108">
        <v>2390</v>
      </c>
      <c r="C88" s="108">
        <f>[3]Tame!D76</f>
        <v>1877.65</v>
      </c>
    </row>
    <row r="89" spans="1:7" x14ac:dyDescent="0.25">
      <c r="A89" s="147" t="s">
        <v>197</v>
      </c>
      <c r="B89" s="147"/>
      <c r="C89" s="148">
        <f>SUM(C78:C88)</f>
        <v>83158.876799999969</v>
      </c>
    </row>
  </sheetData>
  <mergeCells count="21">
    <mergeCell ref="D39:Q39"/>
    <mergeCell ref="H3:H4"/>
    <mergeCell ref="D4:G4"/>
    <mergeCell ref="D23:Q23"/>
    <mergeCell ref="D24:Q24"/>
    <mergeCell ref="D25:Q25"/>
    <mergeCell ref="D26:Q26"/>
    <mergeCell ref="D27:Q27"/>
    <mergeCell ref="D28:Q28"/>
    <mergeCell ref="D30:Q30"/>
    <mergeCell ref="D37:Q37"/>
    <mergeCell ref="D38:Q38"/>
    <mergeCell ref="D54:Q54"/>
    <mergeCell ref="D73:G73"/>
    <mergeCell ref="D74:G74"/>
    <mergeCell ref="D40:Q40"/>
    <mergeCell ref="D41:Q41"/>
    <mergeCell ref="D42:Q42"/>
    <mergeCell ref="D43:Q43"/>
    <mergeCell ref="C46:Q46"/>
    <mergeCell ref="D52:Q52"/>
  </mergeCells>
  <pageMargins left="0.70866141732283472" right="0.70866141732283472" top="0.74803149606299213" bottom="0.74803149606299213" header="0.31496062992125984" footer="0.31496062992125984"/>
  <pageSetup paperSize="9" scale="64" orientation="landscape" r:id="rId1"/>
  <rowBreaks count="1" manualBreakCount="1">
    <brk id="45"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B3C92-06F3-406E-8973-005F7CA8298D}">
  <sheetPr>
    <tabColor rgb="FF92D050"/>
  </sheetPr>
  <dimension ref="A1:R89"/>
  <sheetViews>
    <sheetView topLeftCell="A19" zoomScaleNormal="100" workbookViewId="0">
      <selection activeCell="D26" sqref="D26:R26"/>
    </sheetView>
  </sheetViews>
  <sheetFormatPr defaultRowHeight="15" x14ac:dyDescent="0.25"/>
  <cols>
    <col min="1" max="1" width="14.85546875" style="108" customWidth="1"/>
    <col min="2" max="2" width="12.85546875" style="108" bestFit="1" customWidth="1"/>
    <col min="3" max="3" width="10.42578125" style="108" bestFit="1" customWidth="1"/>
    <col min="4" max="4" width="26.7109375" style="108" customWidth="1"/>
    <col min="5" max="6" width="9.140625" style="108"/>
    <col min="7" max="7" width="11.85546875" style="108" customWidth="1"/>
    <col min="8" max="256" width="9.140625" style="108"/>
    <col min="257" max="257" width="14.85546875" style="108" customWidth="1"/>
    <col min="258" max="258" width="12.85546875" style="108" bestFit="1" customWidth="1"/>
    <col min="259" max="259" width="10.42578125" style="108" bestFit="1" customWidth="1"/>
    <col min="260" max="260" width="26.7109375" style="108" customWidth="1"/>
    <col min="261" max="262" width="9.140625" style="108"/>
    <col min="263" max="263" width="11.85546875" style="108" customWidth="1"/>
    <col min="264" max="512" width="9.140625" style="108"/>
    <col min="513" max="513" width="14.85546875" style="108" customWidth="1"/>
    <col min="514" max="514" width="12.85546875" style="108" bestFit="1" customWidth="1"/>
    <col min="515" max="515" width="10.42578125" style="108" bestFit="1" customWidth="1"/>
    <col min="516" max="516" width="26.7109375" style="108" customWidth="1"/>
    <col min="517" max="518" width="9.140625" style="108"/>
    <col min="519" max="519" width="11.85546875" style="108" customWidth="1"/>
    <col min="520" max="768" width="9.140625" style="108"/>
    <col min="769" max="769" width="14.85546875" style="108" customWidth="1"/>
    <col min="770" max="770" width="12.85546875" style="108" bestFit="1" customWidth="1"/>
    <col min="771" max="771" width="10.42578125" style="108" bestFit="1" customWidth="1"/>
    <col min="772" max="772" width="26.7109375" style="108" customWidth="1"/>
    <col min="773" max="774" width="9.140625" style="108"/>
    <col min="775" max="775" width="11.85546875" style="108" customWidth="1"/>
    <col min="776" max="1024" width="9.140625" style="108"/>
    <col min="1025" max="1025" width="14.85546875" style="108" customWidth="1"/>
    <col min="1026" max="1026" width="12.85546875" style="108" bestFit="1" customWidth="1"/>
    <col min="1027" max="1027" width="10.42578125" style="108" bestFit="1" customWidth="1"/>
    <col min="1028" max="1028" width="26.7109375" style="108" customWidth="1"/>
    <col min="1029" max="1030" width="9.140625" style="108"/>
    <col min="1031" max="1031" width="11.85546875" style="108" customWidth="1"/>
    <col min="1032" max="1280" width="9.140625" style="108"/>
    <col min="1281" max="1281" width="14.85546875" style="108" customWidth="1"/>
    <col min="1282" max="1282" width="12.85546875" style="108" bestFit="1" customWidth="1"/>
    <col min="1283" max="1283" width="10.42578125" style="108" bestFit="1" customWidth="1"/>
    <col min="1284" max="1284" width="26.7109375" style="108" customWidth="1"/>
    <col min="1285" max="1286" width="9.140625" style="108"/>
    <col min="1287" max="1287" width="11.85546875" style="108" customWidth="1"/>
    <col min="1288" max="1536" width="9.140625" style="108"/>
    <col min="1537" max="1537" width="14.85546875" style="108" customWidth="1"/>
    <col min="1538" max="1538" width="12.85546875" style="108" bestFit="1" customWidth="1"/>
    <col min="1539" max="1539" width="10.42578125" style="108" bestFit="1" customWidth="1"/>
    <col min="1540" max="1540" width="26.7109375" style="108" customWidth="1"/>
    <col min="1541" max="1542" width="9.140625" style="108"/>
    <col min="1543" max="1543" width="11.85546875" style="108" customWidth="1"/>
    <col min="1544" max="1792" width="9.140625" style="108"/>
    <col min="1793" max="1793" width="14.85546875" style="108" customWidth="1"/>
    <col min="1794" max="1794" width="12.85546875" style="108" bestFit="1" customWidth="1"/>
    <col min="1795" max="1795" width="10.42578125" style="108" bestFit="1" customWidth="1"/>
    <col min="1796" max="1796" width="26.7109375" style="108" customWidth="1"/>
    <col min="1797" max="1798" width="9.140625" style="108"/>
    <col min="1799" max="1799" width="11.85546875" style="108" customWidth="1"/>
    <col min="1800" max="2048" width="9.140625" style="108"/>
    <col min="2049" max="2049" width="14.85546875" style="108" customWidth="1"/>
    <col min="2050" max="2050" width="12.85546875" style="108" bestFit="1" customWidth="1"/>
    <col min="2051" max="2051" width="10.42578125" style="108" bestFit="1" customWidth="1"/>
    <col min="2052" max="2052" width="26.7109375" style="108" customWidth="1"/>
    <col min="2053" max="2054" width="9.140625" style="108"/>
    <col min="2055" max="2055" width="11.85546875" style="108" customWidth="1"/>
    <col min="2056" max="2304" width="9.140625" style="108"/>
    <col min="2305" max="2305" width="14.85546875" style="108" customWidth="1"/>
    <col min="2306" max="2306" width="12.85546875" style="108" bestFit="1" customWidth="1"/>
    <col min="2307" max="2307" width="10.42578125" style="108" bestFit="1" customWidth="1"/>
    <col min="2308" max="2308" width="26.7109375" style="108" customWidth="1"/>
    <col min="2309" max="2310" width="9.140625" style="108"/>
    <col min="2311" max="2311" width="11.85546875" style="108" customWidth="1"/>
    <col min="2312" max="2560" width="9.140625" style="108"/>
    <col min="2561" max="2561" width="14.85546875" style="108" customWidth="1"/>
    <col min="2562" max="2562" width="12.85546875" style="108" bestFit="1" customWidth="1"/>
    <col min="2563" max="2563" width="10.42578125" style="108" bestFit="1" customWidth="1"/>
    <col min="2564" max="2564" width="26.7109375" style="108" customWidth="1"/>
    <col min="2565" max="2566" width="9.140625" style="108"/>
    <col min="2567" max="2567" width="11.85546875" style="108" customWidth="1"/>
    <col min="2568" max="2816" width="9.140625" style="108"/>
    <col min="2817" max="2817" width="14.85546875" style="108" customWidth="1"/>
    <col min="2818" max="2818" width="12.85546875" style="108" bestFit="1" customWidth="1"/>
    <col min="2819" max="2819" width="10.42578125" style="108" bestFit="1" customWidth="1"/>
    <col min="2820" max="2820" width="26.7109375" style="108" customWidth="1"/>
    <col min="2821" max="2822" width="9.140625" style="108"/>
    <col min="2823" max="2823" width="11.85546875" style="108" customWidth="1"/>
    <col min="2824" max="3072" width="9.140625" style="108"/>
    <col min="3073" max="3073" width="14.85546875" style="108" customWidth="1"/>
    <col min="3074" max="3074" width="12.85546875" style="108" bestFit="1" customWidth="1"/>
    <col min="3075" max="3075" width="10.42578125" style="108" bestFit="1" customWidth="1"/>
    <col min="3076" max="3076" width="26.7109375" style="108" customWidth="1"/>
    <col min="3077" max="3078" width="9.140625" style="108"/>
    <col min="3079" max="3079" width="11.85546875" style="108" customWidth="1"/>
    <col min="3080" max="3328" width="9.140625" style="108"/>
    <col min="3329" max="3329" width="14.85546875" style="108" customWidth="1"/>
    <col min="3330" max="3330" width="12.85546875" style="108" bestFit="1" customWidth="1"/>
    <col min="3331" max="3331" width="10.42578125" style="108" bestFit="1" customWidth="1"/>
    <col min="3332" max="3332" width="26.7109375" style="108" customWidth="1"/>
    <col min="3333" max="3334" width="9.140625" style="108"/>
    <col min="3335" max="3335" width="11.85546875" style="108" customWidth="1"/>
    <col min="3336" max="3584" width="9.140625" style="108"/>
    <col min="3585" max="3585" width="14.85546875" style="108" customWidth="1"/>
    <col min="3586" max="3586" width="12.85546875" style="108" bestFit="1" customWidth="1"/>
    <col min="3587" max="3587" width="10.42578125" style="108" bestFit="1" customWidth="1"/>
    <col min="3588" max="3588" width="26.7109375" style="108" customWidth="1"/>
    <col min="3589" max="3590" width="9.140625" style="108"/>
    <col min="3591" max="3591" width="11.85546875" style="108" customWidth="1"/>
    <col min="3592" max="3840" width="9.140625" style="108"/>
    <col min="3841" max="3841" width="14.85546875" style="108" customWidth="1"/>
    <col min="3842" max="3842" width="12.85546875" style="108" bestFit="1" customWidth="1"/>
    <col min="3843" max="3843" width="10.42578125" style="108" bestFit="1" customWidth="1"/>
    <col min="3844" max="3844" width="26.7109375" style="108" customWidth="1"/>
    <col min="3845" max="3846" width="9.140625" style="108"/>
    <col min="3847" max="3847" width="11.85546875" style="108" customWidth="1"/>
    <col min="3848" max="4096" width="9.140625" style="108"/>
    <col min="4097" max="4097" width="14.85546875" style="108" customWidth="1"/>
    <col min="4098" max="4098" width="12.85546875" style="108" bestFit="1" customWidth="1"/>
    <col min="4099" max="4099" width="10.42578125" style="108" bestFit="1" customWidth="1"/>
    <col min="4100" max="4100" width="26.7109375" style="108" customWidth="1"/>
    <col min="4101" max="4102" width="9.140625" style="108"/>
    <col min="4103" max="4103" width="11.85546875" style="108" customWidth="1"/>
    <col min="4104" max="4352" width="9.140625" style="108"/>
    <col min="4353" max="4353" width="14.85546875" style="108" customWidth="1"/>
    <col min="4354" max="4354" width="12.85546875" style="108" bestFit="1" customWidth="1"/>
    <col min="4355" max="4355" width="10.42578125" style="108" bestFit="1" customWidth="1"/>
    <col min="4356" max="4356" width="26.7109375" style="108" customWidth="1"/>
    <col min="4357" max="4358" width="9.140625" style="108"/>
    <col min="4359" max="4359" width="11.85546875" style="108" customWidth="1"/>
    <col min="4360" max="4608" width="9.140625" style="108"/>
    <col min="4609" max="4609" width="14.85546875" style="108" customWidth="1"/>
    <col min="4610" max="4610" width="12.85546875" style="108" bestFit="1" customWidth="1"/>
    <col min="4611" max="4611" width="10.42578125" style="108" bestFit="1" customWidth="1"/>
    <col min="4612" max="4612" width="26.7109375" style="108" customWidth="1"/>
    <col min="4613" max="4614" width="9.140625" style="108"/>
    <col min="4615" max="4615" width="11.85546875" style="108" customWidth="1"/>
    <col min="4616" max="4864" width="9.140625" style="108"/>
    <col min="4865" max="4865" width="14.85546875" style="108" customWidth="1"/>
    <col min="4866" max="4866" width="12.85546875" style="108" bestFit="1" customWidth="1"/>
    <col min="4867" max="4867" width="10.42578125" style="108" bestFit="1" customWidth="1"/>
    <col min="4868" max="4868" width="26.7109375" style="108" customWidth="1"/>
    <col min="4869" max="4870" width="9.140625" style="108"/>
    <col min="4871" max="4871" width="11.85546875" style="108" customWidth="1"/>
    <col min="4872" max="5120" width="9.140625" style="108"/>
    <col min="5121" max="5121" width="14.85546875" style="108" customWidth="1"/>
    <col min="5122" max="5122" width="12.85546875" style="108" bestFit="1" customWidth="1"/>
    <col min="5123" max="5123" width="10.42578125" style="108" bestFit="1" customWidth="1"/>
    <col min="5124" max="5124" width="26.7109375" style="108" customWidth="1"/>
    <col min="5125" max="5126" width="9.140625" style="108"/>
    <col min="5127" max="5127" width="11.85546875" style="108" customWidth="1"/>
    <col min="5128" max="5376" width="9.140625" style="108"/>
    <col min="5377" max="5377" width="14.85546875" style="108" customWidth="1"/>
    <col min="5378" max="5378" width="12.85546875" style="108" bestFit="1" customWidth="1"/>
    <col min="5379" max="5379" width="10.42578125" style="108" bestFit="1" customWidth="1"/>
    <col min="5380" max="5380" width="26.7109375" style="108" customWidth="1"/>
    <col min="5381" max="5382" width="9.140625" style="108"/>
    <col min="5383" max="5383" width="11.85546875" style="108" customWidth="1"/>
    <col min="5384" max="5632" width="9.140625" style="108"/>
    <col min="5633" max="5633" width="14.85546875" style="108" customWidth="1"/>
    <col min="5634" max="5634" width="12.85546875" style="108" bestFit="1" customWidth="1"/>
    <col min="5635" max="5635" width="10.42578125" style="108" bestFit="1" customWidth="1"/>
    <col min="5636" max="5636" width="26.7109375" style="108" customWidth="1"/>
    <col min="5637" max="5638" width="9.140625" style="108"/>
    <col min="5639" max="5639" width="11.85546875" style="108" customWidth="1"/>
    <col min="5640" max="5888" width="9.140625" style="108"/>
    <col min="5889" max="5889" width="14.85546875" style="108" customWidth="1"/>
    <col min="5890" max="5890" width="12.85546875" style="108" bestFit="1" customWidth="1"/>
    <col min="5891" max="5891" width="10.42578125" style="108" bestFit="1" customWidth="1"/>
    <col min="5892" max="5892" width="26.7109375" style="108" customWidth="1"/>
    <col min="5893" max="5894" width="9.140625" style="108"/>
    <col min="5895" max="5895" width="11.85546875" style="108" customWidth="1"/>
    <col min="5896" max="6144" width="9.140625" style="108"/>
    <col min="6145" max="6145" width="14.85546875" style="108" customWidth="1"/>
    <col min="6146" max="6146" width="12.85546875" style="108" bestFit="1" customWidth="1"/>
    <col min="6147" max="6147" width="10.42578125" style="108" bestFit="1" customWidth="1"/>
    <col min="6148" max="6148" width="26.7109375" style="108" customWidth="1"/>
    <col min="6149" max="6150" width="9.140625" style="108"/>
    <col min="6151" max="6151" width="11.85546875" style="108" customWidth="1"/>
    <col min="6152" max="6400" width="9.140625" style="108"/>
    <col min="6401" max="6401" width="14.85546875" style="108" customWidth="1"/>
    <col min="6402" max="6402" width="12.85546875" style="108" bestFit="1" customWidth="1"/>
    <col min="6403" max="6403" width="10.42578125" style="108" bestFit="1" customWidth="1"/>
    <col min="6404" max="6404" width="26.7109375" style="108" customWidth="1"/>
    <col min="6405" max="6406" width="9.140625" style="108"/>
    <col min="6407" max="6407" width="11.85546875" style="108" customWidth="1"/>
    <col min="6408" max="6656" width="9.140625" style="108"/>
    <col min="6657" max="6657" width="14.85546875" style="108" customWidth="1"/>
    <col min="6658" max="6658" width="12.85546875" style="108" bestFit="1" customWidth="1"/>
    <col min="6659" max="6659" width="10.42578125" style="108" bestFit="1" customWidth="1"/>
    <col min="6660" max="6660" width="26.7109375" style="108" customWidth="1"/>
    <col min="6661" max="6662" width="9.140625" style="108"/>
    <col min="6663" max="6663" width="11.85546875" style="108" customWidth="1"/>
    <col min="6664" max="6912" width="9.140625" style="108"/>
    <col min="6913" max="6913" width="14.85546875" style="108" customWidth="1"/>
    <col min="6914" max="6914" width="12.85546875" style="108" bestFit="1" customWidth="1"/>
    <col min="6915" max="6915" width="10.42578125" style="108" bestFit="1" customWidth="1"/>
    <col min="6916" max="6916" width="26.7109375" style="108" customWidth="1"/>
    <col min="6917" max="6918" width="9.140625" style="108"/>
    <col min="6919" max="6919" width="11.85546875" style="108" customWidth="1"/>
    <col min="6920" max="7168" width="9.140625" style="108"/>
    <col min="7169" max="7169" width="14.85546875" style="108" customWidth="1"/>
    <col min="7170" max="7170" width="12.85546875" style="108" bestFit="1" customWidth="1"/>
    <col min="7171" max="7171" width="10.42578125" style="108" bestFit="1" customWidth="1"/>
    <col min="7172" max="7172" width="26.7109375" style="108" customWidth="1"/>
    <col min="7173" max="7174" width="9.140625" style="108"/>
    <col min="7175" max="7175" width="11.85546875" style="108" customWidth="1"/>
    <col min="7176" max="7424" width="9.140625" style="108"/>
    <col min="7425" max="7425" width="14.85546875" style="108" customWidth="1"/>
    <col min="7426" max="7426" width="12.85546875" style="108" bestFit="1" customWidth="1"/>
    <col min="7427" max="7427" width="10.42578125" style="108" bestFit="1" customWidth="1"/>
    <col min="7428" max="7428" width="26.7109375" style="108" customWidth="1"/>
    <col min="7429" max="7430" width="9.140625" style="108"/>
    <col min="7431" max="7431" width="11.85546875" style="108" customWidth="1"/>
    <col min="7432" max="7680" width="9.140625" style="108"/>
    <col min="7681" max="7681" width="14.85546875" style="108" customWidth="1"/>
    <col min="7682" max="7682" width="12.85546875" style="108" bestFit="1" customWidth="1"/>
    <col min="7683" max="7683" width="10.42578125" style="108" bestFit="1" customWidth="1"/>
    <col min="7684" max="7684" width="26.7109375" style="108" customWidth="1"/>
    <col min="7685" max="7686" width="9.140625" style="108"/>
    <col min="7687" max="7687" width="11.85546875" style="108" customWidth="1"/>
    <col min="7688" max="7936" width="9.140625" style="108"/>
    <col min="7937" max="7937" width="14.85546875" style="108" customWidth="1"/>
    <col min="7938" max="7938" width="12.85546875" style="108" bestFit="1" customWidth="1"/>
    <col min="7939" max="7939" width="10.42578125" style="108" bestFit="1" customWidth="1"/>
    <col min="7940" max="7940" width="26.7109375" style="108" customWidth="1"/>
    <col min="7941" max="7942" width="9.140625" style="108"/>
    <col min="7943" max="7943" width="11.85546875" style="108" customWidth="1"/>
    <col min="7944" max="8192" width="9.140625" style="108"/>
    <col min="8193" max="8193" width="14.85546875" style="108" customWidth="1"/>
    <col min="8194" max="8194" width="12.85546875" style="108" bestFit="1" customWidth="1"/>
    <col min="8195" max="8195" width="10.42578125" style="108" bestFit="1" customWidth="1"/>
    <col min="8196" max="8196" width="26.7109375" style="108" customWidth="1"/>
    <col min="8197" max="8198" width="9.140625" style="108"/>
    <col min="8199" max="8199" width="11.85546875" style="108" customWidth="1"/>
    <col min="8200" max="8448" width="9.140625" style="108"/>
    <col min="8449" max="8449" width="14.85546875" style="108" customWidth="1"/>
    <col min="8450" max="8450" width="12.85546875" style="108" bestFit="1" customWidth="1"/>
    <col min="8451" max="8451" width="10.42578125" style="108" bestFit="1" customWidth="1"/>
    <col min="8452" max="8452" width="26.7109375" style="108" customWidth="1"/>
    <col min="8453" max="8454" width="9.140625" style="108"/>
    <col min="8455" max="8455" width="11.85546875" style="108" customWidth="1"/>
    <col min="8456" max="8704" width="9.140625" style="108"/>
    <col min="8705" max="8705" width="14.85546875" style="108" customWidth="1"/>
    <col min="8706" max="8706" width="12.85546875" style="108" bestFit="1" customWidth="1"/>
    <col min="8707" max="8707" width="10.42578125" style="108" bestFit="1" customWidth="1"/>
    <col min="8708" max="8708" width="26.7109375" style="108" customWidth="1"/>
    <col min="8709" max="8710" width="9.140625" style="108"/>
    <col min="8711" max="8711" width="11.85546875" style="108" customWidth="1"/>
    <col min="8712" max="8960" width="9.140625" style="108"/>
    <col min="8961" max="8961" width="14.85546875" style="108" customWidth="1"/>
    <col min="8962" max="8962" width="12.85546875" style="108" bestFit="1" customWidth="1"/>
    <col min="8963" max="8963" width="10.42578125" style="108" bestFit="1" customWidth="1"/>
    <col min="8964" max="8964" width="26.7109375" style="108" customWidth="1"/>
    <col min="8965" max="8966" width="9.140625" style="108"/>
    <col min="8967" max="8967" width="11.85546875" style="108" customWidth="1"/>
    <col min="8968" max="9216" width="9.140625" style="108"/>
    <col min="9217" max="9217" width="14.85546875" style="108" customWidth="1"/>
    <col min="9218" max="9218" width="12.85546875" style="108" bestFit="1" customWidth="1"/>
    <col min="9219" max="9219" width="10.42578125" style="108" bestFit="1" customWidth="1"/>
    <col min="9220" max="9220" width="26.7109375" style="108" customWidth="1"/>
    <col min="9221" max="9222" width="9.140625" style="108"/>
    <col min="9223" max="9223" width="11.85546875" style="108" customWidth="1"/>
    <col min="9224" max="9472" width="9.140625" style="108"/>
    <col min="9473" max="9473" width="14.85546875" style="108" customWidth="1"/>
    <col min="9474" max="9474" width="12.85546875" style="108" bestFit="1" customWidth="1"/>
    <col min="9475" max="9475" width="10.42578125" style="108" bestFit="1" customWidth="1"/>
    <col min="9476" max="9476" width="26.7109375" style="108" customWidth="1"/>
    <col min="9477" max="9478" width="9.140625" style="108"/>
    <col min="9479" max="9479" width="11.85546875" style="108" customWidth="1"/>
    <col min="9480" max="9728" width="9.140625" style="108"/>
    <col min="9729" max="9729" width="14.85546875" style="108" customWidth="1"/>
    <col min="9730" max="9730" width="12.85546875" style="108" bestFit="1" customWidth="1"/>
    <col min="9731" max="9731" width="10.42578125" style="108" bestFit="1" customWidth="1"/>
    <col min="9732" max="9732" width="26.7109375" style="108" customWidth="1"/>
    <col min="9733" max="9734" width="9.140625" style="108"/>
    <col min="9735" max="9735" width="11.85546875" style="108" customWidth="1"/>
    <col min="9736" max="9984" width="9.140625" style="108"/>
    <col min="9985" max="9985" width="14.85546875" style="108" customWidth="1"/>
    <col min="9986" max="9986" width="12.85546875" style="108" bestFit="1" customWidth="1"/>
    <col min="9987" max="9987" width="10.42578125" style="108" bestFit="1" customWidth="1"/>
    <col min="9988" max="9988" width="26.7109375" style="108" customWidth="1"/>
    <col min="9989" max="9990" width="9.140625" style="108"/>
    <col min="9991" max="9991" width="11.85546875" style="108" customWidth="1"/>
    <col min="9992" max="10240" width="9.140625" style="108"/>
    <col min="10241" max="10241" width="14.85546875" style="108" customWidth="1"/>
    <col min="10242" max="10242" width="12.85546875" style="108" bestFit="1" customWidth="1"/>
    <col min="10243" max="10243" width="10.42578125" style="108" bestFit="1" customWidth="1"/>
    <col min="10244" max="10244" width="26.7109375" style="108" customWidth="1"/>
    <col min="10245" max="10246" width="9.140625" style="108"/>
    <col min="10247" max="10247" width="11.85546875" style="108" customWidth="1"/>
    <col min="10248" max="10496" width="9.140625" style="108"/>
    <col min="10497" max="10497" width="14.85546875" style="108" customWidth="1"/>
    <col min="10498" max="10498" width="12.85546875" style="108" bestFit="1" customWidth="1"/>
    <col min="10499" max="10499" width="10.42578125" style="108" bestFit="1" customWidth="1"/>
    <col min="10500" max="10500" width="26.7109375" style="108" customWidth="1"/>
    <col min="10501" max="10502" width="9.140625" style="108"/>
    <col min="10503" max="10503" width="11.85546875" style="108" customWidth="1"/>
    <col min="10504" max="10752" width="9.140625" style="108"/>
    <col min="10753" max="10753" width="14.85546875" style="108" customWidth="1"/>
    <col min="10754" max="10754" width="12.85546875" style="108" bestFit="1" customWidth="1"/>
    <col min="10755" max="10755" width="10.42578125" style="108" bestFit="1" customWidth="1"/>
    <col min="10756" max="10756" width="26.7109375" style="108" customWidth="1"/>
    <col min="10757" max="10758" width="9.140625" style="108"/>
    <col min="10759" max="10759" width="11.85546875" style="108" customWidth="1"/>
    <col min="10760" max="11008" width="9.140625" style="108"/>
    <col min="11009" max="11009" width="14.85546875" style="108" customWidth="1"/>
    <col min="11010" max="11010" width="12.85546875" style="108" bestFit="1" customWidth="1"/>
    <col min="11011" max="11011" width="10.42578125" style="108" bestFit="1" customWidth="1"/>
    <col min="11012" max="11012" width="26.7109375" style="108" customWidth="1"/>
    <col min="11013" max="11014" width="9.140625" style="108"/>
    <col min="11015" max="11015" width="11.85546875" style="108" customWidth="1"/>
    <col min="11016" max="11264" width="9.140625" style="108"/>
    <col min="11265" max="11265" width="14.85546875" style="108" customWidth="1"/>
    <col min="11266" max="11266" width="12.85546875" style="108" bestFit="1" customWidth="1"/>
    <col min="11267" max="11267" width="10.42578125" style="108" bestFit="1" customWidth="1"/>
    <col min="11268" max="11268" width="26.7109375" style="108" customWidth="1"/>
    <col min="11269" max="11270" width="9.140625" style="108"/>
    <col min="11271" max="11271" width="11.85546875" style="108" customWidth="1"/>
    <col min="11272" max="11520" width="9.140625" style="108"/>
    <col min="11521" max="11521" width="14.85546875" style="108" customWidth="1"/>
    <col min="11522" max="11522" width="12.85546875" style="108" bestFit="1" customWidth="1"/>
    <col min="11523" max="11523" width="10.42578125" style="108" bestFit="1" customWidth="1"/>
    <col min="11524" max="11524" width="26.7109375" style="108" customWidth="1"/>
    <col min="11525" max="11526" width="9.140625" style="108"/>
    <col min="11527" max="11527" width="11.85546875" style="108" customWidth="1"/>
    <col min="11528" max="11776" width="9.140625" style="108"/>
    <col min="11777" max="11777" width="14.85546875" style="108" customWidth="1"/>
    <col min="11778" max="11778" width="12.85546875" style="108" bestFit="1" customWidth="1"/>
    <col min="11779" max="11779" width="10.42578125" style="108" bestFit="1" customWidth="1"/>
    <col min="11780" max="11780" width="26.7109375" style="108" customWidth="1"/>
    <col min="11781" max="11782" width="9.140625" style="108"/>
    <col min="11783" max="11783" width="11.85546875" style="108" customWidth="1"/>
    <col min="11784" max="12032" width="9.140625" style="108"/>
    <col min="12033" max="12033" width="14.85546875" style="108" customWidth="1"/>
    <col min="12034" max="12034" width="12.85546875" style="108" bestFit="1" customWidth="1"/>
    <col min="12035" max="12035" width="10.42578125" style="108" bestFit="1" customWidth="1"/>
    <col min="12036" max="12036" width="26.7109375" style="108" customWidth="1"/>
    <col min="12037" max="12038" width="9.140625" style="108"/>
    <col min="12039" max="12039" width="11.85546875" style="108" customWidth="1"/>
    <col min="12040" max="12288" width="9.140625" style="108"/>
    <col min="12289" max="12289" width="14.85546875" style="108" customWidth="1"/>
    <col min="12290" max="12290" width="12.85546875" style="108" bestFit="1" customWidth="1"/>
    <col min="12291" max="12291" width="10.42578125" style="108" bestFit="1" customWidth="1"/>
    <col min="12292" max="12292" width="26.7109375" style="108" customWidth="1"/>
    <col min="12293" max="12294" width="9.140625" style="108"/>
    <col min="12295" max="12295" width="11.85546875" style="108" customWidth="1"/>
    <col min="12296" max="12544" width="9.140625" style="108"/>
    <col min="12545" max="12545" width="14.85546875" style="108" customWidth="1"/>
    <col min="12546" max="12546" width="12.85546875" style="108" bestFit="1" customWidth="1"/>
    <col min="12547" max="12547" width="10.42578125" style="108" bestFit="1" customWidth="1"/>
    <col min="12548" max="12548" width="26.7109375" style="108" customWidth="1"/>
    <col min="12549" max="12550" width="9.140625" style="108"/>
    <col min="12551" max="12551" width="11.85546875" style="108" customWidth="1"/>
    <col min="12552" max="12800" width="9.140625" style="108"/>
    <col min="12801" max="12801" width="14.85546875" style="108" customWidth="1"/>
    <col min="12802" max="12802" width="12.85546875" style="108" bestFit="1" customWidth="1"/>
    <col min="12803" max="12803" width="10.42578125" style="108" bestFit="1" customWidth="1"/>
    <col min="12804" max="12804" width="26.7109375" style="108" customWidth="1"/>
    <col min="12805" max="12806" width="9.140625" style="108"/>
    <col min="12807" max="12807" width="11.85546875" style="108" customWidth="1"/>
    <col min="12808" max="13056" width="9.140625" style="108"/>
    <col min="13057" max="13057" width="14.85546875" style="108" customWidth="1"/>
    <col min="13058" max="13058" width="12.85546875" style="108" bestFit="1" customWidth="1"/>
    <col min="13059" max="13059" width="10.42578125" style="108" bestFit="1" customWidth="1"/>
    <col min="13060" max="13060" width="26.7109375" style="108" customWidth="1"/>
    <col min="13061" max="13062" width="9.140625" style="108"/>
    <col min="13063" max="13063" width="11.85546875" style="108" customWidth="1"/>
    <col min="13064" max="13312" width="9.140625" style="108"/>
    <col min="13313" max="13313" width="14.85546875" style="108" customWidth="1"/>
    <col min="13314" max="13314" width="12.85546875" style="108" bestFit="1" customWidth="1"/>
    <col min="13315" max="13315" width="10.42578125" style="108" bestFit="1" customWidth="1"/>
    <col min="13316" max="13316" width="26.7109375" style="108" customWidth="1"/>
    <col min="13317" max="13318" width="9.140625" style="108"/>
    <col min="13319" max="13319" width="11.85546875" style="108" customWidth="1"/>
    <col min="13320" max="13568" width="9.140625" style="108"/>
    <col min="13569" max="13569" width="14.85546875" style="108" customWidth="1"/>
    <col min="13570" max="13570" width="12.85546875" style="108" bestFit="1" customWidth="1"/>
    <col min="13571" max="13571" width="10.42578125" style="108" bestFit="1" customWidth="1"/>
    <col min="13572" max="13572" width="26.7109375" style="108" customWidth="1"/>
    <col min="13573" max="13574" width="9.140625" style="108"/>
    <col min="13575" max="13575" width="11.85546875" style="108" customWidth="1"/>
    <col min="13576" max="13824" width="9.140625" style="108"/>
    <col min="13825" max="13825" width="14.85546875" style="108" customWidth="1"/>
    <col min="13826" max="13826" width="12.85546875" style="108" bestFit="1" customWidth="1"/>
    <col min="13827" max="13827" width="10.42578125" style="108" bestFit="1" customWidth="1"/>
    <col min="13828" max="13828" width="26.7109375" style="108" customWidth="1"/>
    <col min="13829" max="13830" width="9.140625" style="108"/>
    <col min="13831" max="13831" width="11.85546875" style="108" customWidth="1"/>
    <col min="13832" max="14080" width="9.140625" style="108"/>
    <col min="14081" max="14081" width="14.85546875" style="108" customWidth="1"/>
    <col min="14082" max="14082" width="12.85546875" style="108" bestFit="1" customWidth="1"/>
    <col min="14083" max="14083" width="10.42578125" style="108" bestFit="1" customWidth="1"/>
    <col min="14084" max="14084" width="26.7109375" style="108" customWidth="1"/>
    <col min="14085" max="14086" width="9.140625" style="108"/>
    <col min="14087" max="14087" width="11.85546875" style="108" customWidth="1"/>
    <col min="14088" max="14336" width="9.140625" style="108"/>
    <col min="14337" max="14337" width="14.85546875" style="108" customWidth="1"/>
    <col min="14338" max="14338" width="12.85546875" style="108" bestFit="1" customWidth="1"/>
    <col min="14339" max="14339" width="10.42578125" style="108" bestFit="1" customWidth="1"/>
    <col min="14340" max="14340" width="26.7109375" style="108" customWidth="1"/>
    <col min="14341" max="14342" width="9.140625" style="108"/>
    <col min="14343" max="14343" width="11.85546875" style="108" customWidth="1"/>
    <col min="14344" max="14592" width="9.140625" style="108"/>
    <col min="14593" max="14593" width="14.85546875" style="108" customWidth="1"/>
    <col min="14594" max="14594" width="12.85546875" style="108" bestFit="1" customWidth="1"/>
    <col min="14595" max="14595" width="10.42578125" style="108" bestFit="1" customWidth="1"/>
    <col min="14596" max="14596" width="26.7109375" style="108" customWidth="1"/>
    <col min="14597" max="14598" width="9.140625" style="108"/>
    <col min="14599" max="14599" width="11.85546875" style="108" customWidth="1"/>
    <col min="14600" max="14848" width="9.140625" style="108"/>
    <col min="14849" max="14849" width="14.85546875" style="108" customWidth="1"/>
    <col min="14850" max="14850" width="12.85546875" style="108" bestFit="1" customWidth="1"/>
    <col min="14851" max="14851" width="10.42578125" style="108" bestFit="1" customWidth="1"/>
    <col min="14852" max="14852" width="26.7109375" style="108" customWidth="1"/>
    <col min="14853" max="14854" width="9.140625" style="108"/>
    <col min="14855" max="14855" width="11.85546875" style="108" customWidth="1"/>
    <col min="14856" max="15104" width="9.140625" style="108"/>
    <col min="15105" max="15105" width="14.85546875" style="108" customWidth="1"/>
    <col min="15106" max="15106" width="12.85546875" style="108" bestFit="1" customWidth="1"/>
    <col min="15107" max="15107" width="10.42578125" style="108" bestFit="1" customWidth="1"/>
    <col min="15108" max="15108" width="26.7109375" style="108" customWidth="1"/>
    <col min="15109" max="15110" width="9.140625" style="108"/>
    <col min="15111" max="15111" width="11.85546875" style="108" customWidth="1"/>
    <col min="15112" max="15360" width="9.140625" style="108"/>
    <col min="15361" max="15361" width="14.85546875" style="108" customWidth="1"/>
    <col min="15362" max="15362" width="12.85546875" style="108" bestFit="1" customWidth="1"/>
    <col min="15363" max="15363" width="10.42578125" style="108" bestFit="1" customWidth="1"/>
    <col min="15364" max="15364" width="26.7109375" style="108" customWidth="1"/>
    <col min="15365" max="15366" width="9.140625" style="108"/>
    <col min="15367" max="15367" width="11.85546875" style="108" customWidth="1"/>
    <col min="15368" max="15616" width="9.140625" style="108"/>
    <col min="15617" max="15617" width="14.85546875" style="108" customWidth="1"/>
    <col min="15618" max="15618" width="12.85546875" style="108" bestFit="1" customWidth="1"/>
    <col min="15619" max="15619" width="10.42578125" style="108" bestFit="1" customWidth="1"/>
    <col min="15620" max="15620" width="26.7109375" style="108" customWidth="1"/>
    <col min="15621" max="15622" width="9.140625" style="108"/>
    <col min="15623" max="15623" width="11.85546875" style="108" customWidth="1"/>
    <col min="15624" max="15872" width="9.140625" style="108"/>
    <col min="15873" max="15873" width="14.85546875" style="108" customWidth="1"/>
    <col min="15874" max="15874" width="12.85546875" style="108" bestFit="1" customWidth="1"/>
    <col min="15875" max="15875" width="10.42578125" style="108" bestFit="1" customWidth="1"/>
    <col min="15876" max="15876" width="26.7109375" style="108" customWidth="1"/>
    <col min="15877" max="15878" width="9.140625" style="108"/>
    <col min="15879" max="15879" width="11.85546875" style="108" customWidth="1"/>
    <col min="15880" max="16128" width="9.140625" style="108"/>
    <col min="16129" max="16129" width="14.85546875" style="108" customWidth="1"/>
    <col min="16130" max="16130" width="12.85546875" style="108" bestFit="1" customWidth="1"/>
    <col min="16131" max="16131" width="10.42578125" style="108" bestFit="1" customWidth="1"/>
    <col min="16132" max="16132" width="26.7109375" style="108" customWidth="1"/>
    <col min="16133" max="16134" width="9.140625" style="108"/>
    <col min="16135" max="16135" width="11.85546875" style="108" customWidth="1"/>
    <col min="16136" max="16384" width="9.140625" style="108"/>
  </cols>
  <sheetData>
    <row r="1" spans="1:16" x14ac:dyDescent="0.25">
      <c r="A1" s="107" t="s">
        <v>108</v>
      </c>
    </row>
    <row r="2" spans="1:16" x14ac:dyDescent="0.25">
      <c r="A2" s="109" t="s">
        <v>198</v>
      </c>
      <c r="C2" s="110"/>
      <c r="D2" s="110"/>
      <c r="E2" s="110"/>
      <c r="I2" s="109" t="s">
        <v>110</v>
      </c>
      <c r="K2" s="109" t="s">
        <v>110</v>
      </c>
      <c r="L2" s="109" t="s">
        <v>111</v>
      </c>
      <c r="N2" s="109" t="s">
        <v>199</v>
      </c>
    </row>
    <row r="3" spans="1:16" ht="15.75" thickBot="1" x14ac:dyDescent="0.3">
      <c r="B3" s="126">
        <f>(((A14/B6+B10)*B8)+B12)/12</f>
        <v>173.15504516601979</v>
      </c>
      <c r="C3" s="113" t="s">
        <v>113</v>
      </c>
      <c r="D3" s="114" t="s">
        <v>114</v>
      </c>
      <c r="E3" s="114"/>
      <c r="F3" s="114"/>
      <c r="G3" s="114"/>
      <c r="H3" s="193" t="s">
        <v>115</v>
      </c>
      <c r="K3" s="115" t="s">
        <v>116</v>
      </c>
      <c r="L3" s="116">
        <f>B3/B8</f>
        <v>5.8696625480006706</v>
      </c>
      <c r="N3" s="119">
        <f>L3*B8/19/8*12-0.03</f>
        <v>13.640135144685773</v>
      </c>
      <c r="O3" s="108" t="s">
        <v>200</v>
      </c>
      <c r="P3" s="119"/>
    </row>
    <row r="4" spans="1:16" x14ac:dyDescent="0.25">
      <c r="B4" s="115" t="s">
        <v>118</v>
      </c>
      <c r="C4" s="113"/>
      <c r="D4" s="196">
        <v>12</v>
      </c>
      <c r="E4" s="196"/>
      <c r="F4" s="196"/>
      <c r="G4" s="196"/>
      <c r="H4" s="193"/>
      <c r="K4" s="115" t="s">
        <v>119</v>
      </c>
      <c r="L4" s="120">
        <f>L3*1.21</f>
        <v>7.1022916830808116</v>
      </c>
      <c r="N4" s="119">
        <f>N3*1.21</f>
        <v>16.504563525069784</v>
      </c>
      <c r="O4" s="119"/>
      <c r="P4" s="119"/>
    </row>
    <row r="5" spans="1:16" x14ac:dyDescent="0.25">
      <c r="C5" s="110"/>
      <c r="D5" s="110"/>
      <c r="E5" s="110"/>
    </row>
    <row r="6" spans="1:16" x14ac:dyDescent="0.25">
      <c r="B6" s="163">
        <v>3865</v>
      </c>
      <c r="C6" s="108" t="s">
        <v>120</v>
      </c>
      <c r="D6" s="123" t="s">
        <v>121</v>
      </c>
      <c r="K6" s="115"/>
    </row>
    <row r="7" spans="1:16" ht="18" customHeight="1" x14ac:dyDescent="0.25">
      <c r="B7" s="124"/>
      <c r="D7" s="123"/>
      <c r="K7" s="115"/>
    </row>
    <row r="8" spans="1:16" x14ac:dyDescent="0.25">
      <c r="A8" s="125">
        <f>B8/B6</f>
        <v>7.6326002587322125E-3</v>
      </c>
      <c r="B8" s="163">
        <v>29.5</v>
      </c>
      <c r="C8" s="108" t="s">
        <v>122</v>
      </c>
      <c r="D8" s="127" t="s">
        <v>123</v>
      </c>
      <c r="E8" s="127"/>
    </row>
    <row r="9" spans="1:16" ht="5.25" customHeight="1" x14ac:dyDescent="0.25">
      <c r="B9" s="124"/>
      <c r="D9" s="123"/>
    </row>
    <row r="10" spans="1:16" x14ac:dyDescent="0.25">
      <c r="B10" s="126">
        <f>A47</f>
        <v>21.515880155239319</v>
      </c>
      <c r="C10" s="108" t="s">
        <v>124</v>
      </c>
      <c r="D10" s="127" t="s">
        <v>125</v>
      </c>
    </row>
    <row r="11" spans="1:16" ht="6.75" customHeight="1" x14ac:dyDescent="0.25">
      <c r="C11" s="127"/>
    </row>
    <row r="12" spans="1:16" ht="45" customHeight="1" x14ac:dyDescent="0.25">
      <c r="B12" s="128">
        <v>28</v>
      </c>
      <c r="C12" s="129" t="s">
        <v>126</v>
      </c>
      <c r="D12" s="130" t="s">
        <v>127</v>
      </c>
    </row>
    <row r="13" spans="1:16" ht="6.75" customHeight="1" x14ac:dyDescent="0.25">
      <c r="C13" s="127"/>
    </row>
    <row r="14" spans="1:16" x14ac:dyDescent="0.25">
      <c r="A14" s="126">
        <f>B23+B28+B30+B32+B34+B35+B36</f>
        <v>185407.59759999998</v>
      </c>
      <c r="B14" s="108" t="s">
        <v>128</v>
      </c>
      <c r="C14" s="108" t="s">
        <v>129</v>
      </c>
    </row>
    <row r="16" spans="1:16" x14ac:dyDescent="0.25">
      <c r="D16" s="123" t="s">
        <v>130</v>
      </c>
    </row>
    <row r="17" spans="1:18" x14ac:dyDescent="0.25">
      <c r="D17" s="131"/>
    </row>
    <row r="18" spans="1:18" x14ac:dyDescent="0.25">
      <c r="D18" s="132" t="s">
        <v>131</v>
      </c>
    </row>
    <row r="19" spans="1:18" x14ac:dyDescent="0.25">
      <c r="D19" s="133"/>
    </row>
    <row r="20" spans="1:18" x14ac:dyDescent="0.25">
      <c r="D20" s="134" t="s">
        <v>132</v>
      </c>
    </row>
    <row r="23" spans="1:18" ht="15" customHeight="1" x14ac:dyDescent="0.25">
      <c r="B23" s="126">
        <f>C73</f>
        <v>116815.19</v>
      </c>
      <c r="C23" s="108" t="s">
        <v>133</v>
      </c>
      <c r="D23" s="192" t="s">
        <v>134</v>
      </c>
      <c r="E23" s="192"/>
      <c r="F23" s="192"/>
      <c r="G23" s="192"/>
      <c r="H23" s="192"/>
      <c r="I23" s="192"/>
      <c r="J23" s="192"/>
      <c r="K23" s="192"/>
      <c r="L23" s="192"/>
      <c r="M23" s="192"/>
      <c r="N23" s="192"/>
      <c r="O23" s="192"/>
      <c r="P23" s="192"/>
      <c r="Q23" s="192"/>
      <c r="R23" s="192"/>
    </row>
    <row r="24" spans="1:18" ht="15" customHeight="1" x14ac:dyDescent="0.25">
      <c r="B24" s="126"/>
      <c r="D24" s="192" t="s">
        <v>135</v>
      </c>
      <c r="E24" s="192"/>
      <c r="F24" s="192"/>
      <c r="G24" s="192"/>
      <c r="H24" s="192"/>
      <c r="I24" s="192"/>
      <c r="J24" s="192"/>
      <c r="K24" s="192"/>
      <c r="L24" s="192"/>
      <c r="M24" s="192"/>
      <c r="N24" s="192"/>
      <c r="O24" s="192"/>
      <c r="P24" s="192"/>
      <c r="Q24" s="192"/>
      <c r="R24" s="192"/>
    </row>
    <row r="25" spans="1:18" ht="15" customHeight="1" x14ac:dyDescent="0.25">
      <c r="B25" s="126"/>
      <c r="D25" s="192" t="s">
        <v>136</v>
      </c>
      <c r="E25" s="192"/>
      <c r="F25" s="192"/>
      <c r="G25" s="192"/>
      <c r="H25" s="192"/>
      <c r="I25" s="192"/>
      <c r="J25" s="192"/>
      <c r="K25" s="192"/>
      <c r="L25" s="192"/>
      <c r="M25" s="192"/>
      <c r="N25" s="192"/>
      <c r="O25" s="192"/>
      <c r="P25" s="192"/>
      <c r="Q25" s="192"/>
      <c r="R25" s="192"/>
    </row>
    <row r="26" spans="1:18" ht="15" customHeight="1" x14ac:dyDescent="0.25">
      <c r="A26" s="109" t="s">
        <v>133</v>
      </c>
      <c r="B26" s="126"/>
      <c r="D26" s="192" t="s">
        <v>137</v>
      </c>
      <c r="E26" s="192"/>
      <c r="F26" s="192"/>
      <c r="G26" s="192"/>
      <c r="H26" s="192"/>
      <c r="I26" s="192"/>
      <c r="J26" s="192"/>
      <c r="K26" s="192"/>
      <c r="L26" s="192"/>
      <c r="M26" s="192"/>
      <c r="N26" s="192"/>
      <c r="O26" s="192"/>
      <c r="P26" s="192"/>
      <c r="Q26" s="192"/>
      <c r="R26" s="192"/>
    </row>
    <row r="27" spans="1:18" ht="15" customHeight="1" x14ac:dyDescent="0.25">
      <c r="B27" s="124"/>
      <c r="D27" s="192" t="s">
        <v>138</v>
      </c>
      <c r="E27" s="192"/>
      <c r="F27" s="192"/>
      <c r="G27" s="192"/>
      <c r="H27" s="192"/>
      <c r="I27" s="192"/>
      <c r="J27" s="192"/>
      <c r="K27" s="192"/>
      <c r="L27" s="192"/>
      <c r="M27" s="192"/>
      <c r="N27" s="192"/>
      <c r="O27" s="192"/>
      <c r="P27" s="192"/>
      <c r="Q27" s="192"/>
      <c r="R27" s="192"/>
    </row>
    <row r="28" spans="1:18" x14ac:dyDescent="0.25">
      <c r="B28" s="126">
        <f>C76</f>
        <v>41277.297599999998</v>
      </c>
      <c r="C28" s="108" t="s">
        <v>139</v>
      </c>
      <c r="D28" s="192" t="s">
        <v>140</v>
      </c>
      <c r="E28" s="192"/>
      <c r="F28" s="192"/>
      <c r="G28" s="192"/>
      <c r="H28" s="192"/>
      <c r="I28" s="192"/>
      <c r="J28" s="192"/>
      <c r="K28" s="192"/>
      <c r="L28" s="192"/>
      <c r="M28" s="192"/>
      <c r="N28" s="192"/>
      <c r="O28" s="192"/>
      <c r="P28" s="192"/>
      <c r="Q28" s="192"/>
      <c r="R28" s="192"/>
    </row>
    <row r="29" spans="1:18" x14ac:dyDescent="0.25">
      <c r="B29" s="124"/>
      <c r="D29" s="108" t="s">
        <v>141</v>
      </c>
    </row>
    <row r="30" spans="1:18" x14ac:dyDescent="0.25">
      <c r="B30" s="164">
        <f>[3]Tame!B92+[3]Tame!B105</f>
        <v>633</v>
      </c>
      <c r="C30" s="108" t="s">
        <v>142</v>
      </c>
      <c r="D30" s="192" t="s">
        <v>143</v>
      </c>
      <c r="E30" s="192"/>
      <c r="F30" s="192"/>
      <c r="G30" s="192"/>
      <c r="H30" s="192"/>
      <c r="I30" s="192"/>
      <c r="J30" s="192"/>
      <c r="K30" s="192"/>
      <c r="L30" s="192"/>
      <c r="M30" s="192"/>
      <c r="N30" s="192"/>
      <c r="O30" s="192"/>
      <c r="P30" s="192"/>
      <c r="Q30" s="192"/>
      <c r="R30" s="192"/>
    </row>
    <row r="31" spans="1:18" x14ac:dyDescent="0.25">
      <c r="B31" s="124"/>
      <c r="D31" s="108" t="s">
        <v>144</v>
      </c>
    </row>
    <row r="32" spans="1:18" x14ac:dyDescent="0.25">
      <c r="B32" s="164">
        <f>[3]Tame!D87</f>
        <v>26333.61</v>
      </c>
      <c r="C32" s="108" t="s">
        <v>145</v>
      </c>
      <c r="D32" s="108" t="s">
        <v>146</v>
      </c>
    </row>
    <row r="33" spans="1:18" x14ac:dyDescent="0.25">
      <c r="B33" s="124"/>
      <c r="D33" s="108" t="s">
        <v>147</v>
      </c>
    </row>
    <row r="34" spans="1:18" x14ac:dyDescent="0.25">
      <c r="A34" s="109" t="s">
        <v>133</v>
      </c>
      <c r="B34" s="126">
        <f>[3]Tame!D60</f>
        <v>348.5</v>
      </c>
      <c r="C34" s="108" t="s">
        <v>148</v>
      </c>
      <c r="D34" s="108" t="s">
        <v>149</v>
      </c>
    </row>
    <row r="35" spans="1:18" ht="60" x14ac:dyDescent="0.25">
      <c r="B35" s="164">
        <v>0</v>
      </c>
      <c r="C35" s="129" t="s">
        <v>150</v>
      </c>
      <c r="D35" s="108" t="s">
        <v>151</v>
      </c>
    </row>
    <row r="36" spans="1:18" x14ac:dyDescent="0.25">
      <c r="B36" s="126"/>
      <c r="C36" s="108" t="s">
        <v>152</v>
      </c>
      <c r="D36" s="108" t="s">
        <v>153</v>
      </c>
    </row>
    <row r="37" spans="1:18" x14ac:dyDescent="0.25">
      <c r="B37" s="126">
        <v>0</v>
      </c>
      <c r="C37" s="108" t="s">
        <v>154</v>
      </c>
      <c r="D37" s="192" t="s">
        <v>155</v>
      </c>
      <c r="E37" s="192"/>
      <c r="F37" s="192"/>
      <c r="G37" s="192"/>
      <c r="H37" s="192"/>
      <c r="I37" s="192"/>
      <c r="J37" s="192"/>
      <c r="K37" s="192"/>
      <c r="L37" s="192"/>
      <c r="M37" s="192"/>
      <c r="N37" s="192"/>
      <c r="O37" s="192"/>
      <c r="P37" s="192"/>
      <c r="Q37" s="192"/>
      <c r="R37" s="192"/>
    </row>
    <row r="38" spans="1:18" x14ac:dyDescent="0.25">
      <c r="B38" s="126"/>
      <c r="D38" s="192" t="s">
        <v>156</v>
      </c>
      <c r="E38" s="192"/>
      <c r="F38" s="192"/>
      <c r="G38" s="192"/>
      <c r="H38" s="192"/>
      <c r="I38" s="192"/>
      <c r="J38" s="192"/>
      <c r="K38" s="192"/>
      <c r="L38" s="192"/>
      <c r="M38" s="192"/>
      <c r="N38" s="192"/>
      <c r="O38" s="192"/>
      <c r="P38" s="192"/>
      <c r="Q38" s="192"/>
      <c r="R38" s="192"/>
    </row>
    <row r="39" spans="1:18" x14ac:dyDescent="0.25">
      <c r="B39" s="126"/>
      <c r="D39" s="192" t="s">
        <v>157</v>
      </c>
      <c r="E39" s="192"/>
      <c r="F39" s="192"/>
      <c r="G39" s="192"/>
      <c r="H39" s="192"/>
      <c r="I39" s="192"/>
      <c r="J39" s="192"/>
      <c r="K39" s="192"/>
      <c r="L39" s="192"/>
      <c r="M39" s="192"/>
      <c r="N39" s="192"/>
      <c r="O39" s="192"/>
      <c r="P39" s="192"/>
      <c r="Q39" s="192"/>
      <c r="R39" s="192"/>
    </row>
    <row r="40" spans="1:18" x14ac:dyDescent="0.25">
      <c r="B40" s="126"/>
      <c r="D40" s="192" t="s">
        <v>201</v>
      </c>
      <c r="E40" s="192"/>
      <c r="F40" s="192"/>
      <c r="G40" s="192"/>
      <c r="H40" s="192"/>
      <c r="I40" s="192"/>
      <c r="J40" s="192"/>
      <c r="K40" s="192"/>
      <c r="L40" s="192"/>
      <c r="M40" s="192"/>
      <c r="N40" s="192"/>
      <c r="O40" s="192"/>
      <c r="P40" s="192"/>
      <c r="Q40" s="192"/>
      <c r="R40" s="192"/>
    </row>
    <row r="41" spans="1:18" x14ac:dyDescent="0.25">
      <c r="B41" s="126"/>
      <c r="D41" s="192" t="s">
        <v>202</v>
      </c>
      <c r="E41" s="192"/>
      <c r="F41" s="192"/>
      <c r="G41" s="192"/>
      <c r="H41" s="192"/>
      <c r="I41" s="192"/>
      <c r="J41" s="192"/>
      <c r="K41" s="192"/>
      <c r="L41" s="192"/>
      <c r="M41" s="192"/>
      <c r="N41" s="192"/>
      <c r="O41" s="192"/>
      <c r="P41" s="192"/>
      <c r="Q41" s="192"/>
      <c r="R41" s="192"/>
    </row>
    <row r="42" spans="1:18" x14ac:dyDescent="0.25">
      <c r="B42" s="126"/>
      <c r="D42" s="192" t="s">
        <v>203</v>
      </c>
      <c r="E42" s="192"/>
      <c r="F42" s="192"/>
      <c r="G42" s="192"/>
      <c r="H42" s="192"/>
      <c r="I42" s="192"/>
      <c r="J42" s="192"/>
      <c r="K42" s="192"/>
      <c r="L42" s="192"/>
      <c r="M42" s="192"/>
      <c r="N42" s="192"/>
      <c r="O42" s="192"/>
      <c r="P42" s="192"/>
      <c r="Q42" s="192"/>
      <c r="R42" s="192"/>
    </row>
    <row r="43" spans="1:18" x14ac:dyDescent="0.25">
      <c r="B43" s="126">
        <v>1</v>
      </c>
      <c r="C43" s="108" t="s">
        <v>161</v>
      </c>
      <c r="D43" s="192" t="s">
        <v>162</v>
      </c>
      <c r="E43" s="192"/>
      <c r="F43" s="192"/>
      <c r="G43" s="192"/>
      <c r="H43" s="192"/>
      <c r="I43" s="192"/>
      <c r="J43" s="192"/>
      <c r="K43" s="192"/>
      <c r="L43" s="192"/>
      <c r="M43" s="192"/>
      <c r="N43" s="192"/>
      <c r="O43" s="192"/>
      <c r="P43" s="192"/>
      <c r="Q43" s="192"/>
      <c r="R43" s="192"/>
    </row>
    <row r="44" spans="1:18" x14ac:dyDescent="0.25">
      <c r="B44" s="126"/>
      <c r="D44" s="135" t="s">
        <v>163</v>
      </c>
      <c r="E44" s="135"/>
      <c r="F44" s="135"/>
      <c r="G44" s="135"/>
      <c r="H44" s="135"/>
      <c r="I44" s="135"/>
      <c r="J44" s="135"/>
      <c r="K44" s="135"/>
      <c r="L44" s="135"/>
      <c r="M44" s="135"/>
      <c r="N44" s="135"/>
      <c r="O44" s="135"/>
      <c r="P44" s="135"/>
      <c r="Q44" s="135"/>
      <c r="R44" s="135"/>
    </row>
    <row r="47" spans="1:18" ht="30" customHeight="1" x14ac:dyDescent="0.25">
      <c r="A47" s="137">
        <f>B53*B55/B57</f>
        <v>21.515880155239319</v>
      </c>
      <c r="B47" s="108" t="s">
        <v>124</v>
      </c>
      <c r="C47" s="190" t="s">
        <v>164</v>
      </c>
      <c r="D47" s="190"/>
      <c r="E47" s="190"/>
      <c r="F47" s="190"/>
      <c r="G47" s="190"/>
      <c r="H47" s="190"/>
      <c r="I47" s="190"/>
      <c r="J47" s="190"/>
      <c r="K47" s="190"/>
      <c r="L47" s="190"/>
      <c r="M47" s="190"/>
      <c r="N47" s="190"/>
      <c r="O47" s="190"/>
      <c r="P47" s="190"/>
      <c r="Q47" s="190"/>
    </row>
    <row r="49" spans="1:17" x14ac:dyDescent="0.25">
      <c r="E49" s="138" t="s">
        <v>165</v>
      </c>
    </row>
    <row r="51" spans="1:17" x14ac:dyDescent="0.25">
      <c r="E51" s="138" t="s">
        <v>166</v>
      </c>
    </row>
    <row r="53" spans="1:17" ht="46.5" customHeight="1" x14ac:dyDescent="0.25">
      <c r="B53" s="139">
        <f>C89</f>
        <v>83158.876799999969</v>
      </c>
      <c r="C53" s="108" t="s">
        <v>167</v>
      </c>
      <c r="D53" s="190" t="s">
        <v>168</v>
      </c>
      <c r="E53" s="190"/>
      <c r="F53" s="190"/>
      <c r="G53" s="190"/>
      <c r="H53" s="190"/>
      <c r="I53" s="190"/>
      <c r="J53" s="190"/>
      <c r="K53" s="190"/>
      <c r="L53" s="190"/>
      <c r="M53" s="190"/>
      <c r="N53" s="190"/>
      <c r="O53" s="190"/>
      <c r="P53" s="190"/>
      <c r="Q53" s="190"/>
    </row>
    <row r="54" spans="1:17" s="110" customFormat="1" ht="7.5" customHeight="1" x14ac:dyDescent="0.25">
      <c r="D54" s="140"/>
      <c r="E54" s="140"/>
      <c r="F54" s="140"/>
      <c r="G54" s="140"/>
      <c r="H54" s="140"/>
      <c r="I54" s="140"/>
      <c r="J54" s="140"/>
      <c r="K54" s="140"/>
      <c r="L54" s="140"/>
      <c r="M54" s="140"/>
      <c r="N54" s="140"/>
      <c r="O54" s="140"/>
      <c r="P54" s="140"/>
      <c r="Q54" s="140"/>
    </row>
    <row r="55" spans="1:17" ht="32.25" customHeight="1" x14ac:dyDescent="0.25">
      <c r="B55" s="141">
        <v>1</v>
      </c>
      <c r="C55" s="108" t="s">
        <v>169</v>
      </c>
      <c r="D55" s="190" t="s">
        <v>170</v>
      </c>
      <c r="E55" s="190"/>
      <c r="F55" s="190"/>
      <c r="G55" s="190"/>
      <c r="H55" s="190"/>
      <c r="I55" s="190"/>
      <c r="J55" s="190"/>
      <c r="K55" s="190"/>
      <c r="L55" s="190"/>
      <c r="M55" s="190"/>
      <c r="N55" s="190"/>
      <c r="O55" s="190"/>
      <c r="P55" s="190"/>
      <c r="Q55" s="190"/>
    </row>
    <row r="56" spans="1:17" ht="6" customHeight="1" x14ac:dyDescent="0.25"/>
    <row r="57" spans="1:17" x14ac:dyDescent="0.25">
      <c r="B57" s="141">
        <f>B6</f>
        <v>3865</v>
      </c>
      <c r="C57" s="108" t="s">
        <v>171</v>
      </c>
      <c r="D57" s="138" t="s">
        <v>204</v>
      </c>
    </row>
    <row r="60" spans="1:17" x14ac:dyDescent="0.25">
      <c r="C60" s="142"/>
      <c r="D60" s="142"/>
      <c r="E60" s="142"/>
      <c r="F60" s="142"/>
    </row>
    <row r="61" spans="1:17" x14ac:dyDescent="0.25">
      <c r="B61" s="143" t="s">
        <v>173</v>
      </c>
      <c r="C61" s="142"/>
      <c r="D61" s="142"/>
      <c r="E61" s="142"/>
      <c r="F61" s="142"/>
    </row>
    <row r="62" spans="1:17" x14ac:dyDescent="0.25">
      <c r="A62" s="147"/>
      <c r="B62" s="108">
        <v>2222</v>
      </c>
      <c r="C62" s="124">
        <f>[3]Tame!D48</f>
        <v>4994.1900000000005</v>
      </c>
      <c r="D62" s="158" t="s">
        <v>174</v>
      </c>
    </row>
    <row r="63" spans="1:17" x14ac:dyDescent="0.25">
      <c r="B63" s="108">
        <v>2223</v>
      </c>
      <c r="C63" s="124">
        <f>[3]Tame!D49</f>
        <v>13341.41</v>
      </c>
      <c r="D63" s="159" t="s">
        <v>175</v>
      </c>
    </row>
    <row r="64" spans="1:17" x14ac:dyDescent="0.25">
      <c r="B64" s="108">
        <v>2229</v>
      </c>
      <c r="C64" s="124">
        <f>[3]Tame!D50</f>
        <v>0</v>
      </c>
      <c r="D64" s="146" t="s">
        <v>176</v>
      </c>
    </row>
    <row r="65" spans="1:7" x14ac:dyDescent="0.25">
      <c r="B65" s="108">
        <v>2239</v>
      </c>
      <c r="C65" s="145">
        <f>[3]Tame!D55</f>
        <v>1140.25</v>
      </c>
      <c r="D65" s="146" t="s">
        <v>177</v>
      </c>
    </row>
    <row r="66" spans="1:7" x14ac:dyDescent="0.25">
      <c r="B66" s="108">
        <v>2241</v>
      </c>
      <c r="C66" s="165">
        <f>[3]Tame!D57</f>
        <v>35694.43</v>
      </c>
      <c r="D66" s="142" t="s">
        <v>178</v>
      </c>
    </row>
    <row r="67" spans="1:7" x14ac:dyDescent="0.25">
      <c r="B67" s="108">
        <v>2243</v>
      </c>
      <c r="C67" s="145">
        <f>[3]Tame!D58</f>
        <v>10146.199999999999</v>
      </c>
      <c r="D67" s="146" t="s">
        <v>179</v>
      </c>
      <c r="E67" s="146"/>
    </row>
    <row r="68" spans="1:7" x14ac:dyDescent="0.25">
      <c r="B68" s="108">
        <v>2244</v>
      </c>
      <c r="C68" s="145">
        <f>[3]Tame!D59</f>
        <v>2513</v>
      </c>
      <c r="D68" s="146" t="s">
        <v>180</v>
      </c>
    </row>
    <row r="69" spans="1:7" x14ac:dyDescent="0.25">
      <c r="B69" s="108">
        <v>2249</v>
      </c>
      <c r="C69" s="145">
        <f>[3]Tame!D61</f>
        <v>4998.63</v>
      </c>
      <c r="D69" s="146" t="s">
        <v>181</v>
      </c>
    </row>
    <row r="70" spans="1:7" x14ac:dyDescent="0.25">
      <c r="B70" s="166">
        <v>2279</v>
      </c>
      <c r="C70" s="167">
        <f>[3]Tame!D65</f>
        <v>10744.42</v>
      </c>
      <c r="D70" s="168" t="s">
        <v>205</v>
      </c>
    </row>
    <row r="71" spans="1:7" x14ac:dyDescent="0.25">
      <c r="B71" s="108">
        <v>2321</v>
      </c>
      <c r="C71" s="145">
        <f>[3]Tame!D71</f>
        <v>27947.64</v>
      </c>
      <c r="D71" s="146" t="s">
        <v>182</v>
      </c>
    </row>
    <row r="72" spans="1:7" x14ac:dyDescent="0.25">
      <c r="B72" s="108">
        <v>2350</v>
      </c>
      <c r="C72" s="145">
        <f>[3]Tame!D75</f>
        <v>5295.02</v>
      </c>
      <c r="D72" s="146" t="s">
        <v>184</v>
      </c>
    </row>
    <row r="73" spans="1:7" x14ac:dyDescent="0.25">
      <c r="A73" s="147" t="s">
        <v>185</v>
      </c>
      <c r="B73" s="147"/>
      <c r="C73" s="148">
        <f>SUM(C62:C72)</f>
        <v>116815.19</v>
      </c>
      <c r="D73" s="195"/>
      <c r="E73" s="195"/>
      <c r="F73" s="195"/>
      <c r="G73" s="195"/>
    </row>
    <row r="74" spans="1:7" x14ac:dyDescent="0.25">
      <c r="C74" s="149"/>
      <c r="D74" s="195"/>
      <c r="E74" s="195"/>
      <c r="F74" s="195"/>
      <c r="G74" s="195"/>
    </row>
    <row r="75" spans="1:7" x14ac:dyDescent="0.25">
      <c r="C75" s="150">
        <f>(462*6)*1.2409*12</f>
        <v>41277.297599999998</v>
      </c>
      <c r="D75" s="146" t="s">
        <v>206</v>
      </c>
      <c r="E75" s="146"/>
      <c r="F75" s="146"/>
      <c r="G75" s="146"/>
    </row>
    <row r="76" spans="1:7" x14ac:dyDescent="0.25">
      <c r="A76" s="147" t="s">
        <v>187</v>
      </c>
      <c r="B76" s="147"/>
      <c r="C76" s="148">
        <f>SUM(C75:C75)</f>
        <v>41277.297599999998</v>
      </c>
      <c r="D76" s="146"/>
      <c r="E76" s="146"/>
      <c r="F76" s="146"/>
      <c r="G76" s="146"/>
    </row>
    <row r="77" spans="1:7" x14ac:dyDescent="0.25">
      <c r="C77" s="149"/>
      <c r="D77" s="146"/>
      <c r="E77" s="146"/>
      <c r="F77" s="146"/>
      <c r="G77" s="146"/>
    </row>
    <row r="78" spans="1:7" x14ac:dyDescent="0.25">
      <c r="C78" s="152">
        <f>(1725+1244)*1.2409*12</f>
        <v>44210.785199999998</v>
      </c>
      <c r="D78" s="151" t="s">
        <v>188</v>
      </c>
    </row>
    <row r="79" spans="1:7" x14ac:dyDescent="0.25">
      <c r="C79" s="153">
        <f>709*3*1.2409*12</f>
        <v>31672.731599999999</v>
      </c>
      <c r="D79" s="151" t="s">
        <v>189</v>
      </c>
      <c r="E79" s="146"/>
      <c r="F79" s="146"/>
      <c r="G79" s="146"/>
    </row>
    <row r="80" spans="1:7" x14ac:dyDescent="0.25">
      <c r="B80" s="108">
        <v>2211</v>
      </c>
      <c r="C80" s="108">
        <f>[3]Tame!D45</f>
        <v>478.4</v>
      </c>
      <c r="D80" s="108" t="s">
        <v>190</v>
      </c>
    </row>
    <row r="81" spans="1:4" x14ac:dyDescent="0.25">
      <c r="B81" s="108">
        <v>2219</v>
      </c>
      <c r="C81" s="108">
        <f>[3]Tame!D46</f>
        <v>1353.5900000000001</v>
      </c>
      <c r="D81" s="146" t="s">
        <v>191</v>
      </c>
    </row>
    <row r="82" spans="1:4" x14ac:dyDescent="0.25">
      <c r="B82" s="108">
        <v>2234</v>
      </c>
      <c r="C82" s="108">
        <f>[3]Tame!D53</f>
        <v>143.47999999999999</v>
      </c>
      <c r="D82" s="146" t="s">
        <v>192</v>
      </c>
    </row>
    <row r="83" spans="1:4" x14ac:dyDescent="0.25">
      <c r="B83" s="108">
        <v>2236</v>
      </c>
      <c r="C83" s="108">
        <f>[3]Tame!D54</f>
        <v>0</v>
      </c>
      <c r="D83" s="146" t="s">
        <v>193</v>
      </c>
    </row>
    <row r="84" spans="1:4" x14ac:dyDescent="0.25">
      <c r="B84" s="108">
        <v>2264</v>
      </c>
      <c r="C84" s="108">
        <f>[3]Tame!D63</f>
        <v>80.400000000000006</v>
      </c>
      <c r="D84" s="146" t="s">
        <v>194</v>
      </c>
    </row>
    <row r="85" spans="1:4" x14ac:dyDescent="0.25">
      <c r="B85" s="108">
        <v>2311</v>
      </c>
      <c r="C85" s="108">
        <f>[3]Tame!D68</f>
        <v>1016.0799999999999</v>
      </c>
      <c r="D85" s="146" t="s">
        <v>195</v>
      </c>
    </row>
    <row r="86" spans="1:4" x14ac:dyDescent="0.25">
      <c r="B86" s="108">
        <v>2312</v>
      </c>
      <c r="C86" s="108">
        <f>[3]Tame!D69</f>
        <v>1608.7800000000002</v>
      </c>
      <c r="D86" s="146" t="s">
        <v>66</v>
      </c>
    </row>
    <row r="87" spans="1:4" x14ac:dyDescent="0.25">
      <c r="B87" s="108">
        <v>2322</v>
      </c>
      <c r="C87" s="108">
        <f>[3]Tame!D72</f>
        <v>716.98</v>
      </c>
      <c r="D87" s="146" t="s">
        <v>196</v>
      </c>
    </row>
    <row r="88" spans="1:4" x14ac:dyDescent="0.25">
      <c r="B88" s="108">
        <v>2390</v>
      </c>
      <c r="C88" s="108">
        <f>[3]Tame!D76</f>
        <v>1877.65</v>
      </c>
    </row>
    <row r="89" spans="1:4" x14ac:dyDescent="0.25">
      <c r="A89" s="147" t="s">
        <v>197</v>
      </c>
      <c r="B89" s="147"/>
      <c r="C89" s="148">
        <f>SUM(C78:C88)</f>
        <v>83158.876799999969</v>
      </c>
    </row>
  </sheetData>
  <mergeCells count="21">
    <mergeCell ref="D39:R39"/>
    <mergeCell ref="H3:H4"/>
    <mergeCell ref="D4:G4"/>
    <mergeCell ref="D23:R23"/>
    <mergeCell ref="D24:R24"/>
    <mergeCell ref="D25:R25"/>
    <mergeCell ref="D26:R26"/>
    <mergeCell ref="D27:R27"/>
    <mergeCell ref="D28:R28"/>
    <mergeCell ref="D30:R30"/>
    <mergeCell ref="D37:R37"/>
    <mergeCell ref="D38:R38"/>
    <mergeCell ref="D55:Q55"/>
    <mergeCell ref="D73:G73"/>
    <mergeCell ref="D74:G74"/>
    <mergeCell ref="D40:R40"/>
    <mergeCell ref="D41:R41"/>
    <mergeCell ref="D42:R42"/>
    <mergeCell ref="D43:R43"/>
    <mergeCell ref="C47:Q47"/>
    <mergeCell ref="D53:Q53"/>
  </mergeCells>
  <pageMargins left="0.70866141732283472" right="0.70866141732283472" top="0.74803149606299213" bottom="0.74803149606299213"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C57DE-E430-4F82-B7B6-B782D580D5D9}">
  <sheetPr>
    <tabColor rgb="FF92D050"/>
  </sheetPr>
  <dimension ref="A1:R89"/>
  <sheetViews>
    <sheetView topLeftCell="A21" zoomScaleNormal="100" workbookViewId="0">
      <selection activeCell="O21" sqref="O21"/>
    </sheetView>
  </sheetViews>
  <sheetFormatPr defaultRowHeight="15" x14ac:dyDescent="0.25"/>
  <cols>
    <col min="1" max="1" width="14.85546875" style="108" customWidth="1"/>
    <col min="2" max="2" width="12.85546875" style="108" bestFit="1" customWidth="1"/>
    <col min="3" max="3" width="10.42578125" style="108" bestFit="1" customWidth="1"/>
    <col min="4" max="4" width="26.7109375" style="108" customWidth="1"/>
    <col min="5" max="6" width="9.140625" style="108"/>
    <col min="7" max="7" width="11.140625" style="108" customWidth="1"/>
    <col min="8" max="10" width="9.140625" style="108"/>
    <col min="11" max="11" width="9.42578125" style="108" bestFit="1" customWidth="1"/>
    <col min="12" max="13" width="9.28515625" style="108" bestFit="1" customWidth="1"/>
    <col min="14" max="256" width="9.140625" style="108"/>
    <col min="257" max="257" width="14.85546875" style="108" customWidth="1"/>
    <col min="258" max="258" width="12.85546875" style="108" bestFit="1" customWidth="1"/>
    <col min="259" max="259" width="10.42578125" style="108" bestFit="1" customWidth="1"/>
    <col min="260" max="260" width="26.7109375" style="108" customWidth="1"/>
    <col min="261" max="262" width="9.140625" style="108"/>
    <col min="263" max="263" width="11.140625" style="108" customWidth="1"/>
    <col min="264" max="266" width="9.140625" style="108"/>
    <col min="267" max="267" width="9.42578125" style="108" bestFit="1" customWidth="1"/>
    <col min="268" max="269" width="9.28515625" style="108" bestFit="1" customWidth="1"/>
    <col min="270" max="512" width="9.140625" style="108"/>
    <col min="513" max="513" width="14.85546875" style="108" customWidth="1"/>
    <col min="514" max="514" width="12.85546875" style="108" bestFit="1" customWidth="1"/>
    <col min="515" max="515" width="10.42578125" style="108" bestFit="1" customWidth="1"/>
    <col min="516" max="516" width="26.7109375" style="108" customWidth="1"/>
    <col min="517" max="518" width="9.140625" style="108"/>
    <col min="519" max="519" width="11.140625" style="108" customWidth="1"/>
    <col min="520" max="522" width="9.140625" style="108"/>
    <col min="523" max="523" width="9.42578125" style="108" bestFit="1" customWidth="1"/>
    <col min="524" max="525" width="9.28515625" style="108" bestFit="1" customWidth="1"/>
    <col min="526" max="768" width="9.140625" style="108"/>
    <col min="769" max="769" width="14.85546875" style="108" customWidth="1"/>
    <col min="770" max="770" width="12.85546875" style="108" bestFit="1" customWidth="1"/>
    <col min="771" max="771" width="10.42578125" style="108" bestFit="1" customWidth="1"/>
    <col min="772" max="772" width="26.7109375" style="108" customWidth="1"/>
    <col min="773" max="774" width="9.140625" style="108"/>
    <col min="775" max="775" width="11.140625" style="108" customWidth="1"/>
    <col min="776" max="778" width="9.140625" style="108"/>
    <col min="779" max="779" width="9.42578125" style="108" bestFit="1" customWidth="1"/>
    <col min="780" max="781" width="9.28515625" style="108" bestFit="1" customWidth="1"/>
    <col min="782" max="1024" width="9.140625" style="108"/>
    <col min="1025" max="1025" width="14.85546875" style="108" customWidth="1"/>
    <col min="1026" max="1026" width="12.85546875" style="108" bestFit="1" customWidth="1"/>
    <col min="1027" max="1027" width="10.42578125" style="108" bestFit="1" customWidth="1"/>
    <col min="1028" max="1028" width="26.7109375" style="108" customWidth="1"/>
    <col min="1029" max="1030" width="9.140625" style="108"/>
    <col min="1031" max="1031" width="11.140625" style="108" customWidth="1"/>
    <col min="1032" max="1034" width="9.140625" style="108"/>
    <col min="1035" max="1035" width="9.42578125" style="108" bestFit="1" customWidth="1"/>
    <col min="1036" max="1037" width="9.28515625" style="108" bestFit="1" customWidth="1"/>
    <col min="1038" max="1280" width="9.140625" style="108"/>
    <col min="1281" max="1281" width="14.85546875" style="108" customWidth="1"/>
    <col min="1282" max="1282" width="12.85546875" style="108" bestFit="1" customWidth="1"/>
    <col min="1283" max="1283" width="10.42578125" style="108" bestFit="1" customWidth="1"/>
    <col min="1284" max="1284" width="26.7109375" style="108" customWidth="1"/>
    <col min="1285" max="1286" width="9.140625" style="108"/>
    <col min="1287" max="1287" width="11.140625" style="108" customWidth="1"/>
    <col min="1288" max="1290" width="9.140625" style="108"/>
    <col min="1291" max="1291" width="9.42578125" style="108" bestFit="1" customWidth="1"/>
    <col min="1292" max="1293" width="9.28515625" style="108" bestFit="1" customWidth="1"/>
    <col min="1294" max="1536" width="9.140625" style="108"/>
    <col min="1537" max="1537" width="14.85546875" style="108" customWidth="1"/>
    <col min="1538" max="1538" width="12.85546875" style="108" bestFit="1" customWidth="1"/>
    <col min="1539" max="1539" width="10.42578125" style="108" bestFit="1" customWidth="1"/>
    <col min="1540" max="1540" width="26.7109375" style="108" customWidth="1"/>
    <col min="1541" max="1542" width="9.140625" style="108"/>
    <col min="1543" max="1543" width="11.140625" style="108" customWidth="1"/>
    <col min="1544" max="1546" width="9.140625" style="108"/>
    <col min="1547" max="1547" width="9.42578125" style="108" bestFit="1" customWidth="1"/>
    <col min="1548" max="1549" width="9.28515625" style="108" bestFit="1" customWidth="1"/>
    <col min="1550" max="1792" width="9.140625" style="108"/>
    <col min="1793" max="1793" width="14.85546875" style="108" customWidth="1"/>
    <col min="1794" max="1794" width="12.85546875" style="108" bestFit="1" customWidth="1"/>
    <col min="1795" max="1795" width="10.42578125" style="108" bestFit="1" customWidth="1"/>
    <col min="1796" max="1796" width="26.7109375" style="108" customWidth="1"/>
    <col min="1797" max="1798" width="9.140625" style="108"/>
    <col min="1799" max="1799" width="11.140625" style="108" customWidth="1"/>
    <col min="1800" max="1802" width="9.140625" style="108"/>
    <col min="1803" max="1803" width="9.42578125" style="108" bestFit="1" customWidth="1"/>
    <col min="1804" max="1805" width="9.28515625" style="108" bestFit="1" customWidth="1"/>
    <col min="1806" max="2048" width="9.140625" style="108"/>
    <col min="2049" max="2049" width="14.85546875" style="108" customWidth="1"/>
    <col min="2050" max="2050" width="12.85546875" style="108" bestFit="1" customWidth="1"/>
    <col min="2051" max="2051" width="10.42578125" style="108" bestFit="1" customWidth="1"/>
    <col min="2052" max="2052" width="26.7109375" style="108" customWidth="1"/>
    <col min="2053" max="2054" width="9.140625" style="108"/>
    <col min="2055" max="2055" width="11.140625" style="108" customWidth="1"/>
    <col min="2056" max="2058" width="9.140625" style="108"/>
    <col min="2059" max="2059" width="9.42578125" style="108" bestFit="1" customWidth="1"/>
    <col min="2060" max="2061" width="9.28515625" style="108" bestFit="1" customWidth="1"/>
    <col min="2062" max="2304" width="9.140625" style="108"/>
    <col min="2305" max="2305" width="14.85546875" style="108" customWidth="1"/>
    <col min="2306" max="2306" width="12.85546875" style="108" bestFit="1" customWidth="1"/>
    <col min="2307" max="2307" width="10.42578125" style="108" bestFit="1" customWidth="1"/>
    <col min="2308" max="2308" width="26.7109375" style="108" customWidth="1"/>
    <col min="2309" max="2310" width="9.140625" style="108"/>
    <col min="2311" max="2311" width="11.140625" style="108" customWidth="1"/>
    <col min="2312" max="2314" width="9.140625" style="108"/>
    <col min="2315" max="2315" width="9.42578125" style="108" bestFit="1" customWidth="1"/>
    <col min="2316" max="2317" width="9.28515625" style="108" bestFit="1" customWidth="1"/>
    <col min="2318" max="2560" width="9.140625" style="108"/>
    <col min="2561" max="2561" width="14.85546875" style="108" customWidth="1"/>
    <col min="2562" max="2562" width="12.85546875" style="108" bestFit="1" customWidth="1"/>
    <col min="2563" max="2563" width="10.42578125" style="108" bestFit="1" customWidth="1"/>
    <col min="2564" max="2564" width="26.7109375" style="108" customWidth="1"/>
    <col min="2565" max="2566" width="9.140625" style="108"/>
    <col min="2567" max="2567" width="11.140625" style="108" customWidth="1"/>
    <col min="2568" max="2570" width="9.140625" style="108"/>
    <col min="2571" max="2571" width="9.42578125" style="108" bestFit="1" customWidth="1"/>
    <col min="2572" max="2573" width="9.28515625" style="108" bestFit="1" customWidth="1"/>
    <col min="2574" max="2816" width="9.140625" style="108"/>
    <col min="2817" max="2817" width="14.85546875" style="108" customWidth="1"/>
    <col min="2818" max="2818" width="12.85546875" style="108" bestFit="1" customWidth="1"/>
    <col min="2819" max="2819" width="10.42578125" style="108" bestFit="1" customWidth="1"/>
    <col min="2820" max="2820" width="26.7109375" style="108" customWidth="1"/>
    <col min="2821" max="2822" width="9.140625" style="108"/>
    <col min="2823" max="2823" width="11.140625" style="108" customWidth="1"/>
    <col min="2824" max="2826" width="9.140625" style="108"/>
    <col min="2827" max="2827" width="9.42578125" style="108" bestFit="1" customWidth="1"/>
    <col min="2828" max="2829" width="9.28515625" style="108" bestFit="1" customWidth="1"/>
    <col min="2830" max="3072" width="9.140625" style="108"/>
    <col min="3073" max="3073" width="14.85546875" style="108" customWidth="1"/>
    <col min="3074" max="3074" width="12.85546875" style="108" bestFit="1" customWidth="1"/>
    <col min="3075" max="3075" width="10.42578125" style="108" bestFit="1" customWidth="1"/>
    <col min="3076" max="3076" width="26.7109375" style="108" customWidth="1"/>
    <col min="3077" max="3078" width="9.140625" style="108"/>
    <col min="3079" max="3079" width="11.140625" style="108" customWidth="1"/>
    <col min="3080" max="3082" width="9.140625" style="108"/>
    <col min="3083" max="3083" width="9.42578125" style="108" bestFit="1" customWidth="1"/>
    <col min="3084" max="3085" width="9.28515625" style="108" bestFit="1" customWidth="1"/>
    <col min="3086" max="3328" width="9.140625" style="108"/>
    <col min="3329" max="3329" width="14.85546875" style="108" customWidth="1"/>
    <col min="3330" max="3330" width="12.85546875" style="108" bestFit="1" customWidth="1"/>
    <col min="3331" max="3331" width="10.42578125" style="108" bestFit="1" customWidth="1"/>
    <col min="3332" max="3332" width="26.7109375" style="108" customWidth="1"/>
    <col min="3333" max="3334" width="9.140625" style="108"/>
    <col min="3335" max="3335" width="11.140625" style="108" customWidth="1"/>
    <col min="3336" max="3338" width="9.140625" style="108"/>
    <col min="3339" max="3339" width="9.42578125" style="108" bestFit="1" customWidth="1"/>
    <col min="3340" max="3341" width="9.28515625" style="108" bestFit="1" customWidth="1"/>
    <col min="3342" max="3584" width="9.140625" style="108"/>
    <col min="3585" max="3585" width="14.85546875" style="108" customWidth="1"/>
    <col min="3586" max="3586" width="12.85546875" style="108" bestFit="1" customWidth="1"/>
    <col min="3587" max="3587" width="10.42578125" style="108" bestFit="1" customWidth="1"/>
    <col min="3588" max="3588" width="26.7109375" style="108" customWidth="1"/>
    <col min="3589" max="3590" width="9.140625" style="108"/>
    <col min="3591" max="3591" width="11.140625" style="108" customWidth="1"/>
    <col min="3592" max="3594" width="9.140625" style="108"/>
    <col min="3595" max="3595" width="9.42578125" style="108" bestFit="1" customWidth="1"/>
    <col min="3596" max="3597" width="9.28515625" style="108" bestFit="1" customWidth="1"/>
    <col min="3598" max="3840" width="9.140625" style="108"/>
    <col min="3841" max="3841" width="14.85546875" style="108" customWidth="1"/>
    <col min="3842" max="3842" width="12.85546875" style="108" bestFit="1" customWidth="1"/>
    <col min="3843" max="3843" width="10.42578125" style="108" bestFit="1" customWidth="1"/>
    <col min="3844" max="3844" width="26.7109375" style="108" customWidth="1"/>
    <col min="3845" max="3846" width="9.140625" style="108"/>
    <col min="3847" max="3847" width="11.140625" style="108" customWidth="1"/>
    <col min="3848" max="3850" width="9.140625" style="108"/>
    <col min="3851" max="3851" width="9.42578125" style="108" bestFit="1" customWidth="1"/>
    <col min="3852" max="3853" width="9.28515625" style="108" bestFit="1" customWidth="1"/>
    <col min="3854" max="4096" width="9.140625" style="108"/>
    <col min="4097" max="4097" width="14.85546875" style="108" customWidth="1"/>
    <col min="4098" max="4098" width="12.85546875" style="108" bestFit="1" customWidth="1"/>
    <col min="4099" max="4099" width="10.42578125" style="108" bestFit="1" customWidth="1"/>
    <col min="4100" max="4100" width="26.7109375" style="108" customWidth="1"/>
    <col min="4101" max="4102" width="9.140625" style="108"/>
    <col min="4103" max="4103" width="11.140625" style="108" customWidth="1"/>
    <col min="4104" max="4106" width="9.140625" style="108"/>
    <col min="4107" max="4107" width="9.42578125" style="108" bestFit="1" customWidth="1"/>
    <col min="4108" max="4109" width="9.28515625" style="108" bestFit="1" customWidth="1"/>
    <col min="4110" max="4352" width="9.140625" style="108"/>
    <col min="4353" max="4353" width="14.85546875" style="108" customWidth="1"/>
    <col min="4354" max="4354" width="12.85546875" style="108" bestFit="1" customWidth="1"/>
    <col min="4355" max="4355" width="10.42578125" style="108" bestFit="1" customWidth="1"/>
    <col min="4356" max="4356" width="26.7109375" style="108" customWidth="1"/>
    <col min="4357" max="4358" width="9.140625" style="108"/>
    <col min="4359" max="4359" width="11.140625" style="108" customWidth="1"/>
    <col min="4360" max="4362" width="9.140625" style="108"/>
    <col min="4363" max="4363" width="9.42578125" style="108" bestFit="1" customWidth="1"/>
    <col min="4364" max="4365" width="9.28515625" style="108" bestFit="1" customWidth="1"/>
    <col min="4366" max="4608" width="9.140625" style="108"/>
    <col min="4609" max="4609" width="14.85546875" style="108" customWidth="1"/>
    <col min="4610" max="4610" width="12.85546875" style="108" bestFit="1" customWidth="1"/>
    <col min="4611" max="4611" width="10.42578125" style="108" bestFit="1" customWidth="1"/>
    <col min="4612" max="4612" width="26.7109375" style="108" customWidth="1"/>
    <col min="4613" max="4614" width="9.140625" style="108"/>
    <col min="4615" max="4615" width="11.140625" style="108" customWidth="1"/>
    <col min="4616" max="4618" width="9.140625" style="108"/>
    <col min="4619" max="4619" width="9.42578125" style="108" bestFit="1" customWidth="1"/>
    <col min="4620" max="4621" width="9.28515625" style="108" bestFit="1" customWidth="1"/>
    <col min="4622" max="4864" width="9.140625" style="108"/>
    <col min="4865" max="4865" width="14.85546875" style="108" customWidth="1"/>
    <col min="4866" max="4866" width="12.85546875" style="108" bestFit="1" customWidth="1"/>
    <col min="4867" max="4867" width="10.42578125" style="108" bestFit="1" customWidth="1"/>
    <col min="4868" max="4868" width="26.7109375" style="108" customWidth="1"/>
    <col min="4869" max="4870" width="9.140625" style="108"/>
    <col min="4871" max="4871" width="11.140625" style="108" customWidth="1"/>
    <col min="4872" max="4874" width="9.140625" style="108"/>
    <col min="4875" max="4875" width="9.42578125" style="108" bestFit="1" customWidth="1"/>
    <col min="4876" max="4877" width="9.28515625" style="108" bestFit="1" customWidth="1"/>
    <col min="4878" max="5120" width="9.140625" style="108"/>
    <col min="5121" max="5121" width="14.85546875" style="108" customWidth="1"/>
    <col min="5122" max="5122" width="12.85546875" style="108" bestFit="1" customWidth="1"/>
    <col min="5123" max="5123" width="10.42578125" style="108" bestFit="1" customWidth="1"/>
    <col min="5124" max="5124" width="26.7109375" style="108" customWidth="1"/>
    <col min="5125" max="5126" width="9.140625" style="108"/>
    <col min="5127" max="5127" width="11.140625" style="108" customWidth="1"/>
    <col min="5128" max="5130" width="9.140625" style="108"/>
    <col min="5131" max="5131" width="9.42578125" style="108" bestFit="1" customWidth="1"/>
    <col min="5132" max="5133" width="9.28515625" style="108" bestFit="1" customWidth="1"/>
    <col min="5134" max="5376" width="9.140625" style="108"/>
    <col min="5377" max="5377" width="14.85546875" style="108" customWidth="1"/>
    <col min="5378" max="5378" width="12.85546875" style="108" bestFit="1" customWidth="1"/>
    <col min="5379" max="5379" width="10.42578125" style="108" bestFit="1" customWidth="1"/>
    <col min="5380" max="5380" width="26.7109375" style="108" customWidth="1"/>
    <col min="5381" max="5382" width="9.140625" style="108"/>
    <col min="5383" max="5383" width="11.140625" style="108" customWidth="1"/>
    <col min="5384" max="5386" width="9.140625" style="108"/>
    <col min="5387" max="5387" width="9.42578125" style="108" bestFit="1" customWidth="1"/>
    <col min="5388" max="5389" width="9.28515625" style="108" bestFit="1" customWidth="1"/>
    <col min="5390" max="5632" width="9.140625" style="108"/>
    <col min="5633" max="5633" width="14.85546875" style="108" customWidth="1"/>
    <col min="5634" max="5634" width="12.85546875" style="108" bestFit="1" customWidth="1"/>
    <col min="5635" max="5635" width="10.42578125" style="108" bestFit="1" customWidth="1"/>
    <col min="5636" max="5636" width="26.7109375" style="108" customWidth="1"/>
    <col min="5637" max="5638" width="9.140625" style="108"/>
    <col min="5639" max="5639" width="11.140625" style="108" customWidth="1"/>
    <col min="5640" max="5642" width="9.140625" style="108"/>
    <col min="5643" max="5643" width="9.42578125" style="108" bestFit="1" customWidth="1"/>
    <col min="5644" max="5645" width="9.28515625" style="108" bestFit="1" customWidth="1"/>
    <col min="5646" max="5888" width="9.140625" style="108"/>
    <col min="5889" max="5889" width="14.85546875" style="108" customWidth="1"/>
    <col min="5890" max="5890" width="12.85546875" style="108" bestFit="1" customWidth="1"/>
    <col min="5891" max="5891" width="10.42578125" style="108" bestFit="1" customWidth="1"/>
    <col min="5892" max="5892" width="26.7109375" style="108" customWidth="1"/>
    <col min="5893" max="5894" width="9.140625" style="108"/>
    <col min="5895" max="5895" width="11.140625" style="108" customWidth="1"/>
    <col min="5896" max="5898" width="9.140625" style="108"/>
    <col min="5899" max="5899" width="9.42578125" style="108" bestFit="1" customWidth="1"/>
    <col min="5900" max="5901" width="9.28515625" style="108" bestFit="1" customWidth="1"/>
    <col min="5902" max="6144" width="9.140625" style="108"/>
    <col min="6145" max="6145" width="14.85546875" style="108" customWidth="1"/>
    <col min="6146" max="6146" width="12.85546875" style="108" bestFit="1" customWidth="1"/>
    <col min="6147" max="6147" width="10.42578125" style="108" bestFit="1" customWidth="1"/>
    <col min="6148" max="6148" width="26.7109375" style="108" customWidth="1"/>
    <col min="6149" max="6150" width="9.140625" style="108"/>
    <col min="6151" max="6151" width="11.140625" style="108" customWidth="1"/>
    <col min="6152" max="6154" width="9.140625" style="108"/>
    <col min="6155" max="6155" width="9.42578125" style="108" bestFit="1" customWidth="1"/>
    <col min="6156" max="6157" width="9.28515625" style="108" bestFit="1" customWidth="1"/>
    <col min="6158" max="6400" width="9.140625" style="108"/>
    <col min="6401" max="6401" width="14.85546875" style="108" customWidth="1"/>
    <col min="6402" max="6402" width="12.85546875" style="108" bestFit="1" customWidth="1"/>
    <col min="6403" max="6403" width="10.42578125" style="108" bestFit="1" customWidth="1"/>
    <col min="6404" max="6404" width="26.7109375" style="108" customWidth="1"/>
    <col min="6405" max="6406" width="9.140625" style="108"/>
    <col min="6407" max="6407" width="11.140625" style="108" customWidth="1"/>
    <col min="6408" max="6410" width="9.140625" style="108"/>
    <col min="6411" max="6411" width="9.42578125" style="108" bestFit="1" customWidth="1"/>
    <col min="6412" max="6413" width="9.28515625" style="108" bestFit="1" customWidth="1"/>
    <col min="6414" max="6656" width="9.140625" style="108"/>
    <col min="6657" max="6657" width="14.85546875" style="108" customWidth="1"/>
    <col min="6658" max="6658" width="12.85546875" style="108" bestFit="1" customWidth="1"/>
    <col min="6659" max="6659" width="10.42578125" style="108" bestFit="1" customWidth="1"/>
    <col min="6660" max="6660" width="26.7109375" style="108" customWidth="1"/>
    <col min="6661" max="6662" width="9.140625" style="108"/>
    <col min="6663" max="6663" width="11.140625" style="108" customWidth="1"/>
    <col min="6664" max="6666" width="9.140625" style="108"/>
    <col min="6667" max="6667" width="9.42578125" style="108" bestFit="1" customWidth="1"/>
    <col min="6668" max="6669" width="9.28515625" style="108" bestFit="1" customWidth="1"/>
    <col min="6670" max="6912" width="9.140625" style="108"/>
    <col min="6913" max="6913" width="14.85546875" style="108" customWidth="1"/>
    <col min="6914" max="6914" width="12.85546875" style="108" bestFit="1" customWidth="1"/>
    <col min="6915" max="6915" width="10.42578125" style="108" bestFit="1" customWidth="1"/>
    <col min="6916" max="6916" width="26.7109375" style="108" customWidth="1"/>
    <col min="6917" max="6918" width="9.140625" style="108"/>
    <col min="6919" max="6919" width="11.140625" style="108" customWidth="1"/>
    <col min="6920" max="6922" width="9.140625" style="108"/>
    <col min="6923" max="6923" width="9.42578125" style="108" bestFit="1" customWidth="1"/>
    <col min="6924" max="6925" width="9.28515625" style="108" bestFit="1" customWidth="1"/>
    <col min="6926" max="7168" width="9.140625" style="108"/>
    <col min="7169" max="7169" width="14.85546875" style="108" customWidth="1"/>
    <col min="7170" max="7170" width="12.85546875" style="108" bestFit="1" customWidth="1"/>
    <col min="7171" max="7171" width="10.42578125" style="108" bestFit="1" customWidth="1"/>
    <col min="7172" max="7172" width="26.7109375" style="108" customWidth="1"/>
    <col min="7173" max="7174" width="9.140625" style="108"/>
    <col min="7175" max="7175" width="11.140625" style="108" customWidth="1"/>
    <col min="7176" max="7178" width="9.140625" style="108"/>
    <col min="7179" max="7179" width="9.42578125" style="108" bestFit="1" customWidth="1"/>
    <col min="7180" max="7181" width="9.28515625" style="108" bestFit="1" customWidth="1"/>
    <col min="7182" max="7424" width="9.140625" style="108"/>
    <col min="7425" max="7425" width="14.85546875" style="108" customWidth="1"/>
    <col min="7426" max="7426" width="12.85546875" style="108" bestFit="1" customWidth="1"/>
    <col min="7427" max="7427" width="10.42578125" style="108" bestFit="1" customWidth="1"/>
    <col min="7428" max="7428" width="26.7109375" style="108" customWidth="1"/>
    <col min="7429" max="7430" width="9.140625" style="108"/>
    <col min="7431" max="7431" width="11.140625" style="108" customWidth="1"/>
    <col min="7432" max="7434" width="9.140625" style="108"/>
    <col min="7435" max="7435" width="9.42578125" style="108" bestFit="1" customWidth="1"/>
    <col min="7436" max="7437" width="9.28515625" style="108" bestFit="1" customWidth="1"/>
    <col min="7438" max="7680" width="9.140625" style="108"/>
    <col min="7681" max="7681" width="14.85546875" style="108" customWidth="1"/>
    <col min="7682" max="7682" width="12.85546875" style="108" bestFit="1" customWidth="1"/>
    <col min="7683" max="7683" width="10.42578125" style="108" bestFit="1" customWidth="1"/>
    <col min="7684" max="7684" width="26.7109375" style="108" customWidth="1"/>
    <col min="7685" max="7686" width="9.140625" style="108"/>
    <col min="7687" max="7687" width="11.140625" style="108" customWidth="1"/>
    <col min="7688" max="7690" width="9.140625" style="108"/>
    <col min="7691" max="7691" width="9.42578125" style="108" bestFit="1" customWidth="1"/>
    <col min="7692" max="7693" width="9.28515625" style="108" bestFit="1" customWidth="1"/>
    <col min="7694" max="7936" width="9.140625" style="108"/>
    <col min="7937" max="7937" width="14.85546875" style="108" customWidth="1"/>
    <col min="7938" max="7938" width="12.85546875" style="108" bestFit="1" customWidth="1"/>
    <col min="7939" max="7939" width="10.42578125" style="108" bestFit="1" customWidth="1"/>
    <col min="7940" max="7940" width="26.7109375" style="108" customWidth="1"/>
    <col min="7941" max="7942" width="9.140625" style="108"/>
    <col min="7943" max="7943" width="11.140625" style="108" customWidth="1"/>
    <col min="7944" max="7946" width="9.140625" style="108"/>
    <col min="7947" max="7947" width="9.42578125" style="108" bestFit="1" customWidth="1"/>
    <col min="7948" max="7949" width="9.28515625" style="108" bestFit="1" customWidth="1"/>
    <col min="7950" max="8192" width="9.140625" style="108"/>
    <col min="8193" max="8193" width="14.85546875" style="108" customWidth="1"/>
    <col min="8194" max="8194" width="12.85546875" style="108" bestFit="1" customWidth="1"/>
    <col min="8195" max="8195" width="10.42578125" style="108" bestFit="1" customWidth="1"/>
    <col min="8196" max="8196" width="26.7109375" style="108" customWidth="1"/>
    <col min="8197" max="8198" width="9.140625" style="108"/>
    <col min="8199" max="8199" width="11.140625" style="108" customWidth="1"/>
    <col min="8200" max="8202" width="9.140625" style="108"/>
    <col min="8203" max="8203" width="9.42578125" style="108" bestFit="1" customWidth="1"/>
    <col min="8204" max="8205" width="9.28515625" style="108" bestFit="1" customWidth="1"/>
    <col min="8206" max="8448" width="9.140625" style="108"/>
    <col min="8449" max="8449" width="14.85546875" style="108" customWidth="1"/>
    <col min="8450" max="8450" width="12.85546875" style="108" bestFit="1" customWidth="1"/>
    <col min="8451" max="8451" width="10.42578125" style="108" bestFit="1" customWidth="1"/>
    <col min="8452" max="8452" width="26.7109375" style="108" customWidth="1"/>
    <col min="8453" max="8454" width="9.140625" style="108"/>
    <col min="8455" max="8455" width="11.140625" style="108" customWidth="1"/>
    <col min="8456" max="8458" width="9.140625" style="108"/>
    <col min="8459" max="8459" width="9.42578125" style="108" bestFit="1" customWidth="1"/>
    <col min="8460" max="8461" width="9.28515625" style="108" bestFit="1" customWidth="1"/>
    <col min="8462" max="8704" width="9.140625" style="108"/>
    <col min="8705" max="8705" width="14.85546875" style="108" customWidth="1"/>
    <col min="8706" max="8706" width="12.85546875" style="108" bestFit="1" customWidth="1"/>
    <col min="8707" max="8707" width="10.42578125" style="108" bestFit="1" customWidth="1"/>
    <col min="8708" max="8708" width="26.7109375" style="108" customWidth="1"/>
    <col min="8709" max="8710" width="9.140625" style="108"/>
    <col min="8711" max="8711" width="11.140625" style="108" customWidth="1"/>
    <col min="8712" max="8714" width="9.140625" style="108"/>
    <col min="8715" max="8715" width="9.42578125" style="108" bestFit="1" customWidth="1"/>
    <col min="8716" max="8717" width="9.28515625" style="108" bestFit="1" customWidth="1"/>
    <col min="8718" max="8960" width="9.140625" style="108"/>
    <col min="8961" max="8961" width="14.85546875" style="108" customWidth="1"/>
    <col min="8962" max="8962" width="12.85546875" style="108" bestFit="1" customWidth="1"/>
    <col min="8963" max="8963" width="10.42578125" style="108" bestFit="1" customWidth="1"/>
    <col min="8964" max="8964" width="26.7109375" style="108" customWidth="1"/>
    <col min="8965" max="8966" width="9.140625" style="108"/>
    <col min="8967" max="8967" width="11.140625" style="108" customWidth="1"/>
    <col min="8968" max="8970" width="9.140625" style="108"/>
    <col min="8971" max="8971" width="9.42578125" style="108" bestFit="1" customWidth="1"/>
    <col min="8972" max="8973" width="9.28515625" style="108" bestFit="1" customWidth="1"/>
    <col min="8974" max="9216" width="9.140625" style="108"/>
    <col min="9217" max="9217" width="14.85546875" style="108" customWidth="1"/>
    <col min="9218" max="9218" width="12.85546875" style="108" bestFit="1" customWidth="1"/>
    <col min="9219" max="9219" width="10.42578125" style="108" bestFit="1" customWidth="1"/>
    <col min="9220" max="9220" width="26.7109375" style="108" customWidth="1"/>
    <col min="9221" max="9222" width="9.140625" style="108"/>
    <col min="9223" max="9223" width="11.140625" style="108" customWidth="1"/>
    <col min="9224" max="9226" width="9.140625" style="108"/>
    <col min="9227" max="9227" width="9.42578125" style="108" bestFit="1" customWidth="1"/>
    <col min="9228" max="9229" width="9.28515625" style="108" bestFit="1" customWidth="1"/>
    <col min="9230" max="9472" width="9.140625" style="108"/>
    <col min="9473" max="9473" width="14.85546875" style="108" customWidth="1"/>
    <col min="9474" max="9474" width="12.85546875" style="108" bestFit="1" customWidth="1"/>
    <col min="9475" max="9475" width="10.42578125" style="108" bestFit="1" customWidth="1"/>
    <col min="9476" max="9476" width="26.7109375" style="108" customWidth="1"/>
    <col min="9477" max="9478" width="9.140625" style="108"/>
    <col min="9479" max="9479" width="11.140625" style="108" customWidth="1"/>
    <col min="9480" max="9482" width="9.140625" style="108"/>
    <col min="9483" max="9483" width="9.42578125" style="108" bestFit="1" customWidth="1"/>
    <col min="9484" max="9485" width="9.28515625" style="108" bestFit="1" customWidth="1"/>
    <col min="9486" max="9728" width="9.140625" style="108"/>
    <col min="9729" max="9729" width="14.85546875" style="108" customWidth="1"/>
    <col min="9730" max="9730" width="12.85546875" style="108" bestFit="1" customWidth="1"/>
    <col min="9731" max="9731" width="10.42578125" style="108" bestFit="1" customWidth="1"/>
    <col min="9732" max="9732" width="26.7109375" style="108" customWidth="1"/>
    <col min="9733" max="9734" width="9.140625" style="108"/>
    <col min="9735" max="9735" width="11.140625" style="108" customWidth="1"/>
    <col min="9736" max="9738" width="9.140625" style="108"/>
    <col min="9739" max="9739" width="9.42578125" style="108" bestFit="1" customWidth="1"/>
    <col min="9740" max="9741" width="9.28515625" style="108" bestFit="1" customWidth="1"/>
    <col min="9742" max="9984" width="9.140625" style="108"/>
    <col min="9985" max="9985" width="14.85546875" style="108" customWidth="1"/>
    <col min="9986" max="9986" width="12.85546875" style="108" bestFit="1" customWidth="1"/>
    <col min="9987" max="9987" width="10.42578125" style="108" bestFit="1" customWidth="1"/>
    <col min="9988" max="9988" width="26.7109375" style="108" customWidth="1"/>
    <col min="9989" max="9990" width="9.140625" style="108"/>
    <col min="9991" max="9991" width="11.140625" style="108" customWidth="1"/>
    <col min="9992" max="9994" width="9.140625" style="108"/>
    <col min="9995" max="9995" width="9.42578125" style="108" bestFit="1" customWidth="1"/>
    <col min="9996" max="9997" width="9.28515625" style="108" bestFit="1" customWidth="1"/>
    <col min="9998" max="10240" width="9.140625" style="108"/>
    <col min="10241" max="10241" width="14.85546875" style="108" customWidth="1"/>
    <col min="10242" max="10242" width="12.85546875" style="108" bestFit="1" customWidth="1"/>
    <col min="10243" max="10243" width="10.42578125" style="108" bestFit="1" customWidth="1"/>
    <col min="10244" max="10244" width="26.7109375" style="108" customWidth="1"/>
    <col min="10245" max="10246" width="9.140625" style="108"/>
    <col min="10247" max="10247" width="11.140625" style="108" customWidth="1"/>
    <col min="10248" max="10250" width="9.140625" style="108"/>
    <col min="10251" max="10251" width="9.42578125" style="108" bestFit="1" customWidth="1"/>
    <col min="10252" max="10253" width="9.28515625" style="108" bestFit="1" customWidth="1"/>
    <col min="10254" max="10496" width="9.140625" style="108"/>
    <col min="10497" max="10497" width="14.85546875" style="108" customWidth="1"/>
    <col min="10498" max="10498" width="12.85546875" style="108" bestFit="1" customWidth="1"/>
    <col min="10499" max="10499" width="10.42578125" style="108" bestFit="1" customWidth="1"/>
    <col min="10500" max="10500" width="26.7109375" style="108" customWidth="1"/>
    <col min="10501" max="10502" width="9.140625" style="108"/>
    <col min="10503" max="10503" width="11.140625" style="108" customWidth="1"/>
    <col min="10504" max="10506" width="9.140625" style="108"/>
    <col min="10507" max="10507" width="9.42578125" style="108" bestFit="1" customWidth="1"/>
    <col min="10508" max="10509" width="9.28515625" style="108" bestFit="1" customWidth="1"/>
    <col min="10510" max="10752" width="9.140625" style="108"/>
    <col min="10753" max="10753" width="14.85546875" style="108" customWidth="1"/>
    <col min="10754" max="10754" width="12.85546875" style="108" bestFit="1" customWidth="1"/>
    <col min="10755" max="10755" width="10.42578125" style="108" bestFit="1" customWidth="1"/>
    <col min="10756" max="10756" width="26.7109375" style="108" customWidth="1"/>
    <col min="10757" max="10758" width="9.140625" style="108"/>
    <col min="10759" max="10759" width="11.140625" style="108" customWidth="1"/>
    <col min="10760" max="10762" width="9.140625" style="108"/>
    <col min="10763" max="10763" width="9.42578125" style="108" bestFit="1" customWidth="1"/>
    <col min="10764" max="10765" width="9.28515625" style="108" bestFit="1" customWidth="1"/>
    <col min="10766" max="11008" width="9.140625" style="108"/>
    <col min="11009" max="11009" width="14.85546875" style="108" customWidth="1"/>
    <col min="11010" max="11010" width="12.85546875" style="108" bestFit="1" customWidth="1"/>
    <col min="11011" max="11011" width="10.42578125" style="108" bestFit="1" customWidth="1"/>
    <col min="11012" max="11012" width="26.7109375" style="108" customWidth="1"/>
    <col min="11013" max="11014" width="9.140625" style="108"/>
    <col min="11015" max="11015" width="11.140625" style="108" customWidth="1"/>
    <col min="11016" max="11018" width="9.140625" style="108"/>
    <col min="11019" max="11019" width="9.42578125" style="108" bestFit="1" customWidth="1"/>
    <col min="11020" max="11021" width="9.28515625" style="108" bestFit="1" customWidth="1"/>
    <col min="11022" max="11264" width="9.140625" style="108"/>
    <col min="11265" max="11265" width="14.85546875" style="108" customWidth="1"/>
    <col min="11266" max="11266" width="12.85546875" style="108" bestFit="1" customWidth="1"/>
    <col min="11267" max="11267" width="10.42578125" style="108" bestFit="1" customWidth="1"/>
    <col min="11268" max="11268" width="26.7109375" style="108" customWidth="1"/>
    <col min="11269" max="11270" width="9.140625" style="108"/>
    <col min="11271" max="11271" width="11.140625" style="108" customWidth="1"/>
    <col min="11272" max="11274" width="9.140625" style="108"/>
    <col min="11275" max="11275" width="9.42578125" style="108" bestFit="1" customWidth="1"/>
    <col min="11276" max="11277" width="9.28515625" style="108" bestFit="1" customWidth="1"/>
    <col min="11278" max="11520" width="9.140625" style="108"/>
    <col min="11521" max="11521" width="14.85546875" style="108" customWidth="1"/>
    <col min="11522" max="11522" width="12.85546875" style="108" bestFit="1" customWidth="1"/>
    <col min="11523" max="11523" width="10.42578125" style="108" bestFit="1" customWidth="1"/>
    <col min="11524" max="11524" width="26.7109375" style="108" customWidth="1"/>
    <col min="11525" max="11526" width="9.140625" style="108"/>
    <col min="11527" max="11527" width="11.140625" style="108" customWidth="1"/>
    <col min="11528" max="11530" width="9.140625" style="108"/>
    <col min="11531" max="11531" width="9.42578125" style="108" bestFit="1" customWidth="1"/>
    <col min="11532" max="11533" width="9.28515625" style="108" bestFit="1" customWidth="1"/>
    <col min="11534" max="11776" width="9.140625" style="108"/>
    <col min="11777" max="11777" width="14.85546875" style="108" customWidth="1"/>
    <col min="11778" max="11778" width="12.85546875" style="108" bestFit="1" customWidth="1"/>
    <col min="11779" max="11779" width="10.42578125" style="108" bestFit="1" customWidth="1"/>
    <col min="11780" max="11780" width="26.7109375" style="108" customWidth="1"/>
    <col min="11781" max="11782" width="9.140625" style="108"/>
    <col min="11783" max="11783" width="11.140625" style="108" customWidth="1"/>
    <col min="11784" max="11786" width="9.140625" style="108"/>
    <col min="11787" max="11787" width="9.42578125" style="108" bestFit="1" customWidth="1"/>
    <col min="11788" max="11789" width="9.28515625" style="108" bestFit="1" customWidth="1"/>
    <col min="11790" max="12032" width="9.140625" style="108"/>
    <col min="12033" max="12033" width="14.85546875" style="108" customWidth="1"/>
    <col min="12034" max="12034" width="12.85546875" style="108" bestFit="1" customWidth="1"/>
    <col min="12035" max="12035" width="10.42578125" style="108" bestFit="1" customWidth="1"/>
    <col min="12036" max="12036" width="26.7109375" style="108" customWidth="1"/>
    <col min="12037" max="12038" width="9.140625" style="108"/>
    <col min="12039" max="12039" width="11.140625" style="108" customWidth="1"/>
    <col min="12040" max="12042" width="9.140625" style="108"/>
    <col min="12043" max="12043" width="9.42578125" style="108" bestFit="1" customWidth="1"/>
    <col min="12044" max="12045" width="9.28515625" style="108" bestFit="1" customWidth="1"/>
    <col min="12046" max="12288" width="9.140625" style="108"/>
    <col min="12289" max="12289" width="14.85546875" style="108" customWidth="1"/>
    <col min="12290" max="12290" width="12.85546875" style="108" bestFit="1" customWidth="1"/>
    <col min="12291" max="12291" width="10.42578125" style="108" bestFit="1" customWidth="1"/>
    <col min="12292" max="12292" width="26.7109375" style="108" customWidth="1"/>
    <col min="12293" max="12294" width="9.140625" style="108"/>
    <col min="12295" max="12295" width="11.140625" style="108" customWidth="1"/>
    <col min="12296" max="12298" width="9.140625" style="108"/>
    <col min="12299" max="12299" width="9.42578125" style="108" bestFit="1" customWidth="1"/>
    <col min="12300" max="12301" width="9.28515625" style="108" bestFit="1" customWidth="1"/>
    <col min="12302" max="12544" width="9.140625" style="108"/>
    <col min="12545" max="12545" width="14.85546875" style="108" customWidth="1"/>
    <col min="12546" max="12546" width="12.85546875" style="108" bestFit="1" customWidth="1"/>
    <col min="12547" max="12547" width="10.42578125" style="108" bestFit="1" customWidth="1"/>
    <col min="12548" max="12548" width="26.7109375" style="108" customWidth="1"/>
    <col min="12549" max="12550" width="9.140625" style="108"/>
    <col min="12551" max="12551" width="11.140625" style="108" customWidth="1"/>
    <col min="12552" max="12554" width="9.140625" style="108"/>
    <col min="12555" max="12555" width="9.42578125" style="108" bestFit="1" customWidth="1"/>
    <col min="12556" max="12557" width="9.28515625" style="108" bestFit="1" customWidth="1"/>
    <col min="12558" max="12800" width="9.140625" style="108"/>
    <col min="12801" max="12801" width="14.85546875" style="108" customWidth="1"/>
    <col min="12802" max="12802" width="12.85546875" style="108" bestFit="1" customWidth="1"/>
    <col min="12803" max="12803" width="10.42578125" style="108" bestFit="1" customWidth="1"/>
    <col min="12804" max="12804" width="26.7109375" style="108" customWidth="1"/>
    <col min="12805" max="12806" width="9.140625" style="108"/>
    <col min="12807" max="12807" width="11.140625" style="108" customWidth="1"/>
    <col min="12808" max="12810" width="9.140625" style="108"/>
    <col min="12811" max="12811" width="9.42578125" style="108" bestFit="1" customWidth="1"/>
    <col min="12812" max="12813" width="9.28515625" style="108" bestFit="1" customWidth="1"/>
    <col min="12814" max="13056" width="9.140625" style="108"/>
    <col min="13057" max="13057" width="14.85546875" style="108" customWidth="1"/>
    <col min="13058" max="13058" width="12.85546875" style="108" bestFit="1" customWidth="1"/>
    <col min="13059" max="13059" width="10.42578125" style="108" bestFit="1" customWidth="1"/>
    <col min="13060" max="13060" width="26.7109375" style="108" customWidth="1"/>
    <col min="13061" max="13062" width="9.140625" style="108"/>
    <col min="13063" max="13063" width="11.140625" style="108" customWidth="1"/>
    <col min="13064" max="13066" width="9.140625" style="108"/>
    <col min="13067" max="13067" width="9.42578125" style="108" bestFit="1" customWidth="1"/>
    <col min="13068" max="13069" width="9.28515625" style="108" bestFit="1" customWidth="1"/>
    <col min="13070" max="13312" width="9.140625" style="108"/>
    <col min="13313" max="13313" width="14.85546875" style="108" customWidth="1"/>
    <col min="13314" max="13314" width="12.85546875" style="108" bestFit="1" customWidth="1"/>
    <col min="13315" max="13315" width="10.42578125" style="108" bestFit="1" customWidth="1"/>
    <col min="13316" max="13316" width="26.7109375" style="108" customWidth="1"/>
    <col min="13317" max="13318" width="9.140625" style="108"/>
    <col min="13319" max="13319" width="11.140625" style="108" customWidth="1"/>
    <col min="13320" max="13322" width="9.140625" style="108"/>
    <col min="13323" max="13323" width="9.42578125" style="108" bestFit="1" customWidth="1"/>
    <col min="13324" max="13325" width="9.28515625" style="108" bestFit="1" customWidth="1"/>
    <col min="13326" max="13568" width="9.140625" style="108"/>
    <col min="13569" max="13569" width="14.85546875" style="108" customWidth="1"/>
    <col min="13570" max="13570" width="12.85546875" style="108" bestFit="1" customWidth="1"/>
    <col min="13571" max="13571" width="10.42578125" style="108" bestFit="1" customWidth="1"/>
    <col min="13572" max="13572" width="26.7109375" style="108" customWidth="1"/>
    <col min="13573" max="13574" width="9.140625" style="108"/>
    <col min="13575" max="13575" width="11.140625" style="108" customWidth="1"/>
    <col min="13576" max="13578" width="9.140625" style="108"/>
    <col min="13579" max="13579" width="9.42578125" style="108" bestFit="1" customWidth="1"/>
    <col min="13580" max="13581" width="9.28515625" style="108" bestFit="1" customWidth="1"/>
    <col min="13582" max="13824" width="9.140625" style="108"/>
    <col min="13825" max="13825" width="14.85546875" style="108" customWidth="1"/>
    <col min="13826" max="13826" width="12.85546875" style="108" bestFit="1" customWidth="1"/>
    <col min="13827" max="13827" width="10.42578125" style="108" bestFit="1" customWidth="1"/>
    <col min="13828" max="13828" width="26.7109375" style="108" customWidth="1"/>
    <col min="13829" max="13830" width="9.140625" style="108"/>
    <col min="13831" max="13831" width="11.140625" style="108" customWidth="1"/>
    <col min="13832" max="13834" width="9.140625" style="108"/>
    <col min="13835" max="13835" width="9.42578125" style="108" bestFit="1" customWidth="1"/>
    <col min="13836" max="13837" width="9.28515625" style="108" bestFit="1" customWidth="1"/>
    <col min="13838" max="14080" width="9.140625" style="108"/>
    <col min="14081" max="14081" width="14.85546875" style="108" customWidth="1"/>
    <col min="14082" max="14082" width="12.85546875" style="108" bestFit="1" customWidth="1"/>
    <col min="14083" max="14083" width="10.42578125" style="108" bestFit="1" customWidth="1"/>
    <col min="14084" max="14084" width="26.7109375" style="108" customWidth="1"/>
    <col min="14085" max="14086" width="9.140625" style="108"/>
    <col min="14087" max="14087" width="11.140625" style="108" customWidth="1"/>
    <col min="14088" max="14090" width="9.140625" style="108"/>
    <col min="14091" max="14091" width="9.42578125" style="108" bestFit="1" customWidth="1"/>
    <col min="14092" max="14093" width="9.28515625" style="108" bestFit="1" customWidth="1"/>
    <col min="14094" max="14336" width="9.140625" style="108"/>
    <col min="14337" max="14337" width="14.85546875" style="108" customWidth="1"/>
    <col min="14338" max="14338" width="12.85546875" style="108" bestFit="1" customWidth="1"/>
    <col min="14339" max="14339" width="10.42578125" style="108" bestFit="1" customWidth="1"/>
    <col min="14340" max="14340" width="26.7109375" style="108" customWidth="1"/>
    <col min="14341" max="14342" width="9.140625" style="108"/>
    <col min="14343" max="14343" width="11.140625" style="108" customWidth="1"/>
    <col min="14344" max="14346" width="9.140625" style="108"/>
    <col min="14347" max="14347" width="9.42578125" style="108" bestFit="1" customWidth="1"/>
    <col min="14348" max="14349" width="9.28515625" style="108" bestFit="1" customWidth="1"/>
    <col min="14350" max="14592" width="9.140625" style="108"/>
    <col min="14593" max="14593" width="14.85546875" style="108" customWidth="1"/>
    <col min="14594" max="14594" width="12.85546875" style="108" bestFit="1" customWidth="1"/>
    <col min="14595" max="14595" width="10.42578125" style="108" bestFit="1" customWidth="1"/>
    <col min="14596" max="14596" width="26.7109375" style="108" customWidth="1"/>
    <col min="14597" max="14598" width="9.140625" style="108"/>
    <col min="14599" max="14599" width="11.140625" style="108" customWidth="1"/>
    <col min="14600" max="14602" width="9.140625" style="108"/>
    <col min="14603" max="14603" width="9.42578125" style="108" bestFit="1" customWidth="1"/>
    <col min="14604" max="14605" width="9.28515625" style="108" bestFit="1" customWidth="1"/>
    <col min="14606" max="14848" width="9.140625" style="108"/>
    <col min="14849" max="14849" width="14.85546875" style="108" customWidth="1"/>
    <col min="14850" max="14850" width="12.85546875" style="108" bestFit="1" customWidth="1"/>
    <col min="14851" max="14851" width="10.42578125" style="108" bestFit="1" customWidth="1"/>
    <col min="14852" max="14852" width="26.7109375" style="108" customWidth="1"/>
    <col min="14853" max="14854" width="9.140625" style="108"/>
    <col min="14855" max="14855" width="11.140625" style="108" customWidth="1"/>
    <col min="14856" max="14858" width="9.140625" style="108"/>
    <col min="14859" max="14859" width="9.42578125" style="108" bestFit="1" customWidth="1"/>
    <col min="14860" max="14861" width="9.28515625" style="108" bestFit="1" customWidth="1"/>
    <col min="14862" max="15104" width="9.140625" style="108"/>
    <col min="15105" max="15105" width="14.85546875" style="108" customWidth="1"/>
    <col min="15106" max="15106" width="12.85546875" style="108" bestFit="1" customWidth="1"/>
    <col min="15107" max="15107" width="10.42578125" style="108" bestFit="1" customWidth="1"/>
    <col min="15108" max="15108" width="26.7109375" style="108" customWidth="1"/>
    <col min="15109" max="15110" width="9.140625" style="108"/>
    <col min="15111" max="15111" width="11.140625" style="108" customWidth="1"/>
    <col min="15112" max="15114" width="9.140625" style="108"/>
    <col min="15115" max="15115" width="9.42578125" style="108" bestFit="1" customWidth="1"/>
    <col min="15116" max="15117" width="9.28515625" style="108" bestFit="1" customWidth="1"/>
    <col min="15118" max="15360" width="9.140625" style="108"/>
    <col min="15361" max="15361" width="14.85546875" style="108" customWidth="1"/>
    <col min="15362" max="15362" width="12.85546875" style="108" bestFit="1" customWidth="1"/>
    <col min="15363" max="15363" width="10.42578125" style="108" bestFit="1" customWidth="1"/>
    <col min="15364" max="15364" width="26.7109375" style="108" customWidth="1"/>
    <col min="15365" max="15366" width="9.140625" style="108"/>
    <col min="15367" max="15367" width="11.140625" style="108" customWidth="1"/>
    <col min="15368" max="15370" width="9.140625" style="108"/>
    <col min="15371" max="15371" width="9.42578125" style="108" bestFit="1" customWidth="1"/>
    <col min="15372" max="15373" width="9.28515625" style="108" bestFit="1" customWidth="1"/>
    <col min="15374" max="15616" width="9.140625" style="108"/>
    <col min="15617" max="15617" width="14.85546875" style="108" customWidth="1"/>
    <col min="15618" max="15618" width="12.85546875" style="108" bestFit="1" customWidth="1"/>
    <col min="15619" max="15619" width="10.42578125" style="108" bestFit="1" customWidth="1"/>
    <col min="15620" max="15620" width="26.7109375" style="108" customWidth="1"/>
    <col min="15621" max="15622" width="9.140625" style="108"/>
    <col min="15623" max="15623" width="11.140625" style="108" customWidth="1"/>
    <col min="15624" max="15626" width="9.140625" style="108"/>
    <col min="15627" max="15627" width="9.42578125" style="108" bestFit="1" customWidth="1"/>
    <col min="15628" max="15629" width="9.28515625" style="108" bestFit="1" customWidth="1"/>
    <col min="15630" max="15872" width="9.140625" style="108"/>
    <col min="15873" max="15873" width="14.85546875" style="108" customWidth="1"/>
    <col min="15874" max="15874" width="12.85546875" style="108" bestFit="1" customWidth="1"/>
    <col min="15875" max="15875" width="10.42578125" style="108" bestFit="1" customWidth="1"/>
    <col min="15876" max="15876" width="26.7109375" style="108" customWidth="1"/>
    <col min="15877" max="15878" width="9.140625" style="108"/>
    <col min="15879" max="15879" width="11.140625" style="108" customWidth="1"/>
    <col min="15880" max="15882" width="9.140625" style="108"/>
    <col min="15883" max="15883" width="9.42578125" style="108" bestFit="1" customWidth="1"/>
    <col min="15884" max="15885" width="9.28515625" style="108" bestFit="1" customWidth="1"/>
    <col min="15886" max="16128" width="9.140625" style="108"/>
    <col min="16129" max="16129" width="14.85546875" style="108" customWidth="1"/>
    <col min="16130" max="16130" width="12.85546875" style="108" bestFit="1" customWidth="1"/>
    <col min="16131" max="16131" width="10.42578125" style="108" bestFit="1" customWidth="1"/>
    <col min="16132" max="16132" width="26.7109375" style="108" customWidth="1"/>
    <col min="16133" max="16134" width="9.140625" style="108"/>
    <col min="16135" max="16135" width="11.140625" style="108" customWidth="1"/>
    <col min="16136" max="16138" width="9.140625" style="108"/>
    <col min="16139" max="16139" width="9.42578125" style="108" bestFit="1" customWidth="1"/>
    <col min="16140" max="16141" width="9.28515625" style="108" bestFit="1" customWidth="1"/>
    <col min="16142" max="16384" width="9.140625" style="108"/>
  </cols>
  <sheetData>
    <row r="1" spans="1:17" x14ac:dyDescent="0.25">
      <c r="A1" s="107" t="s">
        <v>108</v>
      </c>
    </row>
    <row r="2" spans="1:17" x14ac:dyDescent="0.25">
      <c r="A2" s="109" t="s">
        <v>207</v>
      </c>
      <c r="C2" s="110"/>
      <c r="D2" s="110"/>
      <c r="E2" s="110"/>
      <c r="K2" s="109" t="s">
        <v>110</v>
      </c>
      <c r="L2" s="169" t="s">
        <v>111</v>
      </c>
      <c r="M2" s="169" t="s">
        <v>208</v>
      </c>
      <c r="N2" s="166"/>
    </row>
    <row r="3" spans="1:17" ht="15.75" thickBot="1" x14ac:dyDescent="0.3">
      <c r="B3" s="112">
        <f>(((A14/B6+B10)*B8)+B12)/12</f>
        <v>677.93969556532966</v>
      </c>
      <c r="C3" s="113" t="s">
        <v>113</v>
      </c>
      <c r="D3" s="114" t="s">
        <v>114</v>
      </c>
      <c r="E3" s="170"/>
      <c r="F3" s="170"/>
      <c r="G3" s="170"/>
      <c r="H3" s="193" t="s">
        <v>115</v>
      </c>
      <c r="K3" s="115" t="s">
        <v>116</v>
      </c>
      <c r="L3" s="116">
        <f>B3/B8</f>
        <v>4.9412514254032782</v>
      </c>
      <c r="M3" s="171">
        <f>L3*B8/20/4</f>
        <v>8.4742461945666214</v>
      </c>
      <c r="N3" s="172">
        <f>L3*B8</f>
        <v>677.93969556532977</v>
      </c>
      <c r="O3" s="172">
        <f>N3/30</f>
        <v>22.597989852177658</v>
      </c>
      <c r="Q3" s="173"/>
    </row>
    <row r="4" spans="1:17" x14ac:dyDescent="0.25">
      <c r="B4" s="115" t="s">
        <v>118</v>
      </c>
      <c r="C4" s="113"/>
      <c r="D4" s="196">
        <v>12</v>
      </c>
      <c r="E4" s="196"/>
      <c r="F4" s="196"/>
      <c r="G4" s="196"/>
      <c r="H4" s="193"/>
      <c r="K4" s="115" t="s">
        <v>119</v>
      </c>
      <c r="L4" s="120">
        <f>L3*1.21</f>
        <v>5.9789142247379665</v>
      </c>
      <c r="M4" s="171">
        <f>M3*1.21</f>
        <v>10.253837895425612</v>
      </c>
      <c r="N4" s="172">
        <f>L4*B8</f>
        <v>820.30703163404894</v>
      </c>
      <c r="O4" s="172">
        <f>O3*1.21</f>
        <v>27.343567721134967</v>
      </c>
      <c r="Q4" s="166"/>
    </row>
    <row r="5" spans="1:17" x14ac:dyDescent="0.25">
      <c r="C5" s="110"/>
      <c r="D5" s="110"/>
      <c r="E5" s="110"/>
      <c r="K5" s="121"/>
      <c r="M5" s="174"/>
      <c r="N5" s="174"/>
      <c r="O5" s="174">
        <f>8*5</f>
        <v>40</v>
      </c>
      <c r="P5" s="174">
        <f>O5/4/5</f>
        <v>2</v>
      </c>
      <c r="Q5" s="174" t="s">
        <v>209</v>
      </c>
    </row>
    <row r="6" spans="1:17" x14ac:dyDescent="0.25">
      <c r="B6" s="122">
        <v>3865</v>
      </c>
      <c r="C6" s="108" t="s">
        <v>120</v>
      </c>
      <c r="D6" s="123" t="s">
        <v>121</v>
      </c>
      <c r="L6" s="175">
        <f>B3/20/4</f>
        <v>8.4742461945666214</v>
      </c>
      <c r="M6" s="174">
        <v>2.6403503115546827E-2</v>
      </c>
      <c r="N6" s="176">
        <f>B8*M6</f>
        <v>3.6225606274530242</v>
      </c>
      <c r="O6" s="174"/>
      <c r="P6" s="174">
        <v>4</v>
      </c>
      <c r="Q6" s="174" t="s">
        <v>210</v>
      </c>
    </row>
    <row r="7" spans="1:17" ht="4.5" customHeight="1" x14ac:dyDescent="0.25">
      <c r="B7" s="124"/>
      <c r="D7" s="123"/>
    </row>
    <row r="8" spans="1:17" x14ac:dyDescent="0.25">
      <c r="A8" s="125">
        <f>B8/B6</f>
        <v>3.5498059508408793E-2</v>
      </c>
      <c r="B8" s="126">
        <v>137.19999999999999</v>
      </c>
      <c r="C8" s="108" t="s">
        <v>122</v>
      </c>
      <c r="D8" s="127" t="s">
        <v>123</v>
      </c>
      <c r="E8" s="127"/>
    </row>
    <row r="9" spans="1:17" ht="5.25" customHeight="1" x14ac:dyDescent="0.25">
      <c r="B9" s="124"/>
      <c r="D9" s="123"/>
    </row>
    <row r="10" spans="1:17" x14ac:dyDescent="0.25">
      <c r="B10" s="126">
        <f>A47</f>
        <v>21.515880155239319</v>
      </c>
      <c r="C10" s="108" t="s">
        <v>124</v>
      </c>
      <c r="D10" s="127" t="s">
        <v>125</v>
      </c>
    </row>
    <row r="11" spans="1:17" ht="6.75" customHeight="1" x14ac:dyDescent="0.25">
      <c r="C11" s="127"/>
    </row>
    <row r="12" spans="1:17" ht="45" customHeight="1" x14ac:dyDescent="0.25">
      <c r="B12" s="128">
        <v>28</v>
      </c>
      <c r="C12" s="129" t="s">
        <v>126</v>
      </c>
      <c r="D12" s="130" t="s">
        <v>127</v>
      </c>
    </row>
    <row r="13" spans="1:17" ht="6.75" customHeight="1" x14ac:dyDescent="0.25">
      <c r="C13" s="127"/>
    </row>
    <row r="14" spans="1:17" x14ac:dyDescent="0.25">
      <c r="A14" s="126">
        <f>B23+B28+B30+B32+B34+B35+B36</f>
        <v>145227.58879999997</v>
      </c>
      <c r="B14" s="108" t="s">
        <v>128</v>
      </c>
      <c r="C14" s="108" t="s">
        <v>129</v>
      </c>
    </row>
    <row r="16" spans="1:17" x14ac:dyDescent="0.25">
      <c r="D16" s="123" t="s">
        <v>130</v>
      </c>
    </row>
    <row r="17" spans="1:18" x14ac:dyDescent="0.25">
      <c r="D17" s="131"/>
    </row>
    <row r="18" spans="1:18" x14ac:dyDescent="0.25">
      <c r="D18" s="132" t="s">
        <v>131</v>
      </c>
    </row>
    <row r="19" spans="1:18" x14ac:dyDescent="0.25">
      <c r="D19" s="133"/>
    </row>
    <row r="20" spans="1:18" x14ac:dyDescent="0.25">
      <c r="D20" s="134" t="s">
        <v>132</v>
      </c>
    </row>
    <row r="23" spans="1:18" ht="15" customHeight="1" x14ac:dyDescent="0.25">
      <c r="B23" s="126">
        <f>C73</f>
        <v>97273.829999999987</v>
      </c>
      <c r="C23" s="108" t="s">
        <v>133</v>
      </c>
      <c r="D23" s="192" t="s">
        <v>134</v>
      </c>
      <c r="E23" s="192"/>
      <c r="F23" s="192"/>
      <c r="G23" s="192"/>
      <c r="H23" s="192"/>
      <c r="I23" s="192"/>
      <c r="J23" s="192"/>
      <c r="K23" s="192"/>
      <c r="L23" s="192"/>
      <c r="M23" s="192"/>
      <c r="N23" s="192"/>
      <c r="O23" s="192"/>
      <c r="P23" s="192"/>
      <c r="Q23" s="192"/>
      <c r="R23" s="192"/>
    </row>
    <row r="24" spans="1:18" ht="15" customHeight="1" x14ac:dyDescent="0.25">
      <c r="B24" s="126"/>
      <c r="D24" s="192" t="s">
        <v>135</v>
      </c>
      <c r="E24" s="192"/>
      <c r="F24" s="192"/>
      <c r="G24" s="192"/>
      <c r="H24" s="192"/>
      <c r="I24" s="192"/>
      <c r="J24" s="192"/>
      <c r="K24" s="192"/>
      <c r="L24" s="192"/>
      <c r="M24" s="192"/>
      <c r="N24" s="192"/>
      <c r="O24" s="192"/>
      <c r="P24" s="192"/>
      <c r="Q24" s="192"/>
      <c r="R24" s="192"/>
    </row>
    <row r="25" spans="1:18" ht="15" customHeight="1" x14ac:dyDescent="0.25">
      <c r="B25" s="126"/>
      <c r="D25" s="192" t="s">
        <v>136</v>
      </c>
      <c r="E25" s="192"/>
      <c r="F25" s="192"/>
      <c r="G25" s="192"/>
      <c r="H25" s="192"/>
      <c r="I25" s="192"/>
      <c r="J25" s="192"/>
      <c r="K25" s="192"/>
      <c r="L25" s="192"/>
      <c r="M25" s="192"/>
      <c r="N25" s="192"/>
      <c r="O25" s="192"/>
      <c r="P25" s="192"/>
      <c r="Q25" s="192"/>
      <c r="R25" s="192"/>
    </row>
    <row r="26" spans="1:18" ht="15" customHeight="1" x14ac:dyDescent="0.25">
      <c r="A26" s="109" t="s">
        <v>133</v>
      </c>
      <c r="B26" s="126"/>
      <c r="D26" s="192" t="s">
        <v>137</v>
      </c>
      <c r="E26" s="192"/>
      <c r="F26" s="192"/>
      <c r="G26" s="192"/>
      <c r="H26" s="192"/>
      <c r="I26" s="192"/>
      <c r="J26" s="192"/>
      <c r="K26" s="192"/>
      <c r="L26" s="192"/>
      <c r="M26" s="192"/>
      <c r="N26" s="192"/>
      <c r="O26" s="192"/>
      <c r="P26" s="192"/>
      <c r="Q26" s="192"/>
      <c r="R26" s="192"/>
    </row>
    <row r="27" spans="1:18" ht="15" customHeight="1" x14ac:dyDescent="0.25">
      <c r="B27" s="126"/>
      <c r="D27" s="192" t="s">
        <v>138</v>
      </c>
      <c r="E27" s="192"/>
      <c r="F27" s="192"/>
      <c r="G27" s="192"/>
      <c r="H27" s="192"/>
      <c r="I27" s="192"/>
      <c r="J27" s="192"/>
      <c r="K27" s="192"/>
      <c r="L27" s="192"/>
      <c r="M27" s="192"/>
      <c r="N27" s="192"/>
      <c r="O27" s="192"/>
      <c r="P27" s="192"/>
      <c r="Q27" s="192"/>
      <c r="R27" s="192"/>
    </row>
    <row r="28" spans="1:18" x14ac:dyDescent="0.25">
      <c r="B28" s="126">
        <f>C76</f>
        <v>20638.648799999999</v>
      </c>
      <c r="C28" s="108" t="s">
        <v>139</v>
      </c>
      <c r="D28" s="192" t="s">
        <v>140</v>
      </c>
      <c r="E28" s="192"/>
      <c r="F28" s="192"/>
      <c r="G28" s="192"/>
      <c r="H28" s="192"/>
      <c r="I28" s="192"/>
      <c r="J28" s="192"/>
      <c r="K28" s="192"/>
      <c r="L28" s="192"/>
      <c r="M28" s="192"/>
      <c r="N28" s="192"/>
      <c r="O28" s="192"/>
      <c r="P28" s="192"/>
      <c r="Q28" s="192"/>
      <c r="R28" s="192"/>
    </row>
    <row r="29" spans="1:18" x14ac:dyDescent="0.25">
      <c r="B29" s="124"/>
      <c r="D29" s="108" t="s">
        <v>141</v>
      </c>
    </row>
    <row r="30" spans="1:18" x14ac:dyDescent="0.25">
      <c r="B30" s="126">
        <f>[3]Tame!B92+[3]Tame!B105</f>
        <v>633</v>
      </c>
      <c r="C30" s="108" t="s">
        <v>142</v>
      </c>
      <c r="D30" s="192" t="s">
        <v>143</v>
      </c>
      <c r="E30" s="192"/>
      <c r="F30" s="192"/>
      <c r="G30" s="192"/>
      <c r="H30" s="192"/>
      <c r="I30" s="192"/>
      <c r="J30" s="192"/>
      <c r="K30" s="192"/>
      <c r="L30" s="192"/>
      <c r="M30" s="192"/>
      <c r="N30" s="192"/>
      <c r="O30" s="192"/>
      <c r="P30" s="192"/>
      <c r="Q30" s="192"/>
      <c r="R30" s="192"/>
    </row>
    <row r="31" spans="1:18" x14ac:dyDescent="0.25">
      <c r="B31" s="124"/>
      <c r="D31" s="108" t="s">
        <v>144</v>
      </c>
    </row>
    <row r="32" spans="1:18" x14ac:dyDescent="0.25">
      <c r="B32" s="126">
        <f>[3]Tame!D87</f>
        <v>26333.61</v>
      </c>
      <c r="C32" s="108" t="s">
        <v>145</v>
      </c>
      <c r="D32" s="108" t="s">
        <v>146</v>
      </c>
    </row>
    <row r="33" spans="1:18" x14ac:dyDescent="0.25">
      <c r="B33" s="124"/>
      <c r="D33" s="108" t="s">
        <v>147</v>
      </c>
    </row>
    <row r="34" spans="1:18" x14ac:dyDescent="0.25">
      <c r="A34" s="109" t="s">
        <v>133</v>
      </c>
      <c r="B34" s="126">
        <f>[3]Tame!D60</f>
        <v>348.5</v>
      </c>
      <c r="C34" s="108" t="s">
        <v>148</v>
      </c>
      <c r="D34" s="108" t="s">
        <v>149</v>
      </c>
    </row>
    <row r="35" spans="1:18" ht="60" x14ac:dyDescent="0.25">
      <c r="B35" s="126">
        <v>0</v>
      </c>
      <c r="C35" s="129" t="s">
        <v>150</v>
      </c>
      <c r="D35" s="108" t="s">
        <v>151</v>
      </c>
    </row>
    <row r="36" spans="1:18" x14ac:dyDescent="0.25">
      <c r="B36" s="126"/>
      <c r="C36" s="108" t="s">
        <v>152</v>
      </c>
      <c r="D36" s="108" t="s">
        <v>153</v>
      </c>
    </row>
    <row r="37" spans="1:18" x14ac:dyDescent="0.25">
      <c r="B37" s="126">
        <v>0</v>
      </c>
      <c r="C37" s="108" t="s">
        <v>154</v>
      </c>
      <c r="D37" s="192" t="s">
        <v>155</v>
      </c>
      <c r="E37" s="192"/>
      <c r="F37" s="192"/>
      <c r="G37" s="192"/>
      <c r="H37" s="192"/>
      <c r="I37" s="192"/>
      <c r="J37" s="192"/>
      <c r="K37" s="192"/>
      <c r="L37" s="192"/>
      <c r="M37" s="192"/>
      <c r="N37" s="192"/>
      <c r="O37" s="192"/>
      <c r="P37" s="192"/>
      <c r="Q37" s="192"/>
      <c r="R37" s="192"/>
    </row>
    <row r="38" spans="1:18" x14ac:dyDescent="0.25">
      <c r="B38" s="126"/>
      <c r="D38" s="192" t="s">
        <v>156</v>
      </c>
      <c r="E38" s="192"/>
      <c r="F38" s="192"/>
      <c r="G38" s="192"/>
      <c r="H38" s="192"/>
      <c r="I38" s="192"/>
      <c r="J38" s="192"/>
      <c r="K38" s="192"/>
      <c r="L38" s="192"/>
      <c r="M38" s="192"/>
      <c r="N38" s="192"/>
      <c r="O38" s="192"/>
      <c r="P38" s="192"/>
      <c r="Q38" s="192"/>
      <c r="R38" s="192"/>
    </row>
    <row r="39" spans="1:18" x14ac:dyDescent="0.25">
      <c r="B39" s="126"/>
      <c r="D39" s="192" t="s">
        <v>157</v>
      </c>
      <c r="E39" s="192"/>
      <c r="F39" s="192"/>
      <c r="G39" s="192"/>
      <c r="H39" s="192"/>
      <c r="I39" s="192"/>
      <c r="J39" s="192"/>
      <c r="K39" s="192"/>
      <c r="L39" s="192"/>
      <c r="M39" s="192"/>
      <c r="N39" s="192"/>
      <c r="O39" s="192"/>
      <c r="P39" s="192"/>
      <c r="Q39" s="192"/>
      <c r="R39" s="192"/>
    </row>
    <row r="40" spans="1:18" x14ac:dyDescent="0.25">
      <c r="B40" s="126"/>
      <c r="D40" s="192" t="s">
        <v>201</v>
      </c>
      <c r="E40" s="192"/>
      <c r="F40" s="192"/>
      <c r="G40" s="192"/>
      <c r="H40" s="192"/>
      <c r="I40" s="192"/>
      <c r="J40" s="192"/>
      <c r="K40" s="192"/>
      <c r="L40" s="192"/>
      <c r="M40" s="192"/>
      <c r="N40" s="192"/>
      <c r="O40" s="192"/>
      <c r="P40" s="192"/>
      <c r="Q40" s="192"/>
      <c r="R40" s="192"/>
    </row>
    <row r="41" spans="1:18" x14ac:dyDescent="0.25">
      <c r="B41" s="126"/>
      <c r="D41" s="192" t="s">
        <v>202</v>
      </c>
      <c r="E41" s="192"/>
      <c r="F41" s="192"/>
      <c r="G41" s="192"/>
      <c r="H41" s="192"/>
      <c r="I41" s="192"/>
      <c r="J41" s="192"/>
      <c r="K41" s="192"/>
      <c r="L41" s="192"/>
      <c r="M41" s="192"/>
      <c r="N41" s="192"/>
      <c r="O41" s="192"/>
      <c r="P41" s="192"/>
      <c r="Q41" s="192"/>
      <c r="R41" s="192"/>
    </row>
    <row r="42" spans="1:18" x14ac:dyDescent="0.25">
      <c r="B42" s="126"/>
      <c r="D42" s="192" t="s">
        <v>203</v>
      </c>
      <c r="E42" s="192"/>
      <c r="F42" s="192"/>
      <c r="G42" s="192"/>
      <c r="H42" s="192"/>
      <c r="I42" s="192"/>
      <c r="J42" s="192"/>
      <c r="K42" s="192"/>
      <c r="L42" s="192"/>
      <c r="M42" s="192"/>
      <c r="N42" s="192"/>
      <c r="O42" s="192"/>
      <c r="P42" s="192"/>
      <c r="Q42" s="192"/>
      <c r="R42" s="192"/>
    </row>
    <row r="43" spans="1:18" x14ac:dyDescent="0.25">
      <c r="B43" s="126">
        <v>1</v>
      </c>
      <c r="C43" s="108" t="s">
        <v>161</v>
      </c>
      <c r="D43" s="192" t="s">
        <v>162</v>
      </c>
      <c r="E43" s="192"/>
      <c r="F43" s="192"/>
      <c r="G43" s="192"/>
      <c r="H43" s="192"/>
      <c r="I43" s="192"/>
      <c r="J43" s="192"/>
      <c r="K43" s="192"/>
      <c r="L43" s="192"/>
      <c r="M43" s="192"/>
      <c r="N43" s="192"/>
      <c r="O43" s="192"/>
      <c r="P43" s="192"/>
      <c r="Q43" s="192"/>
      <c r="R43" s="192"/>
    </row>
    <row r="44" spans="1:18" x14ac:dyDescent="0.25">
      <c r="B44" s="126"/>
      <c r="D44" s="135" t="s">
        <v>163</v>
      </c>
      <c r="E44" s="135"/>
      <c r="F44" s="135"/>
      <c r="G44" s="135"/>
      <c r="H44" s="135"/>
      <c r="I44" s="135"/>
      <c r="J44" s="135"/>
      <c r="K44" s="135"/>
      <c r="L44" s="135"/>
      <c r="M44" s="135"/>
      <c r="N44" s="135"/>
      <c r="O44" s="135"/>
      <c r="P44" s="135"/>
      <c r="Q44" s="135"/>
      <c r="R44" s="135"/>
    </row>
    <row r="47" spans="1:18" ht="30" customHeight="1" x14ac:dyDescent="0.25">
      <c r="A47" s="137">
        <f>B53*B55/B57</f>
        <v>21.515880155239319</v>
      </c>
      <c r="B47" s="108" t="s">
        <v>124</v>
      </c>
      <c r="C47" s="190" t="s">
        <v>164</v>
      </c>
      <c r="D47" s="190"/>
      <c r="E47" s="190"/>
      <c r="F47" s="190"/>
      <c r="G47" s="190"/>
      <c r="H47" s="190"/>
      <c r="I47" s="190"/>
      <c r="J47" s="190"/>
      <c r="K47" s="190"/>
      <c r="L47" s="190"/>
      <c r="M47" s="190"/>
      <c r="N47" s="190"/>
      <c r="O47" s="190"/>
      <c r="P47" s="190"/>
      <c r="Q47" s="190"/>
    </row>
    <row r="49" spans="2:17" x14ac:dyDescent="0.25">
      <c r="E49" s="138" t="s">
        <v>165</v>
      </c>
    </row>
    <row r="51" spans="2:17" x14ac:dyDescent="0.25">
      <c r="E51" s="138" t="s">
        <v>166</v>
      </c>
    </row>
    <row r="53" spans="2:17" ht="46.5" customHeight="1" x14ac:dyDescent="0.25">
      <c r="B53" s="139">
        <f>C89</f>
        <v>83158.876799999969</v>
      </c>
      <c r="C53" s="108" t="s">
        <v>167</v>
      </c>
      <c r="D53" s="190" t="s">
        <v>168</v>
      </c>
      <c r="E53" s="190"/>
      <c r="F53" s="190"/>
      <c r="G53" s="190"/>
      <c r="H53" s="190"/>
      <c r="I53" s="190"/>
      <c r="J53" s="190"/>
      <c r="K53" s="190"/>
      <c r="L53" s="190"/>
      <c r="M53" s="190"/>
      <c r="N53" s="190"/>
      <c r="O53" s="190"/>
      <c r="P53" s="190"/>
      <c r="Q53" s="190"/>
    </row>
    <row r="54" spans="2:17" s="110" customFormat="1" ht="7.5" customHeight="1" x14ac:dyDescent="0.25">
      <c r="D54" s="140"/>
      <c r="E54" s="140"/>
      <c r="F54" s="140"/>
      <c r="G54" s="140"/>
      <c r="H54" s="140"/>
      <c r="I54" s="140"/>
      <c r="J54" s="140"/>
      <c r="K54" s="140"/>
      <c r="L54" s="140"/>
      <c r="M54" s="140"/>
      <c r="N54" s="140"/>
      <c r="O54" s="140"/>
      <c r="P54" s="140"/>
      <c r="Q54" s="140"/>
    </row>
    <row r="55" spans="2:17" ht="32.25" customHeight="1" x14ac:dyDescent="0.25">
      <c r="B55" s="141">
        <v>1</v>
      </c>
      <c r="C55" s="108" t="s">
        <v>169</v>
      </c>
      <c r="D55" s="190" t="s">
        <v>170</v>
      </c>
      <c r="E55" s="190"/>
      <c r="F55" s="190"/>
      <c r="G55" s="190"/>
      <c r="H55" s="190"/>
      <c r="I55" s="190"/>
      <c r="J55" s="190"/>
      <c r="K55" s="190"/>
      <c r="L55" s="190"/>
      <c r="M55" s="190"/>
      <c r="N55" s="190"/>
      <c r="O55" s="190"/>
      <c r="P55" s="190"/>
      <c r="Q55" s="190"/>
    </row>
    <row r="56" spans="2:17" ht="6" customHeight="1" x14ac:dyDescent="0.25"/>
    <row r="57" spans="2:17" x14ac:dyDescent="0.25">
      <c r="B57" s="126">
        <v>3865</v>
      </c>
      <c r="C57" s="108" t="s">
        <v>171</v>
      </c>
      <c r="D57" s="138" t="s">
        <v>204</v>
      </c>
    </row>
    <row r="60" spans="2:17" x14ac:dyDescent="0.25">
      <c r="C60" s="142"/>
      <c r="D60" s="142"/>
      <c r="E60" s="142"/>
      <c r="F60" s="142"/>
    </row>
    <row r="61" spans="2:17" x14ac:dyDescent="0.25">
      <c r="B61" s="143" t="s">
        <v>173</v>
      </c>
      <c r="C61" s="142"/>
      <c r="D61" s="142"/>
      <c r="E61" s="142"/>
      <c r="F61" s="142"/>
    </row>
    <row r="62" spans="2:17" x14ac:dyDescent="0.25">
      <c r="B62" s="108">
        <v>2222</v>
      </c>
      <c r="C62" s="124">
        <f>[3]Tame!D48</f>
        <v>4994.1900000000005</v>
      </c>
      <c r="D62" s="158" t="s">
        <v>174</v>
      </c>
    </row>
    <row r="63" spans="2:17" x14ac:dyDescent="0.25">
      <c r="B63" s="108">
        <v>2223</v>
      </c>
      <c r="C63" s="124">
        <f>[3]Tame!D49</f>
        <v>13341.41</v>
      </c>
      <c r="D63" s="159" t="s">
        <v>175</v>
      </c>
    </row>
    <row r="64" spans="2:17" x14ac:dyDescent="0.25">
      <c r="B64" s="108">
        <v>2229</v>
      </c>
      <c r="C64" s="145">
        <f>[3]Tame!D50</f>
        <v>0</v>
      </c>
      <c r="D64" s="146" t="s">
        <v>176</v>
      </c>
    </row>
    <row r="65" spans="1:7" x14ac:dyDescent="0.25">
      <c r="B65" s="108">
        <v>2239</v>
      </c>
      <c r="C65" s="145">
        <f>[3]Tame!D55</f>
        <v>1140.25</v>
      </c>
      <c r="D65" s="146" t="s">
        <v>177</v>
      </c>
    </row>
    <row r="66" spans="1:7" x14ac:dyDescent="0.25">
      <c r="B66" s="108">
        <v>2241</v>
      </c>
      <c r="C66" s="145">
        <f>[3]Tame!D57</f>
        <v>35694.43</v>
      </c>
      <c r="D66" s="142" t="s">
        <v>178</v>
      </c>
    </row>
    <row r="67" spans="1:7" x14ac:dyDescent="0.25">
      <c r="B67" s="108">
        <v>2243</v>
      </c>
      <c r="C67" s="145">
        <v>1300</v>
      </c>
      <c r="D67" s="146" t="s">
        <v>179</v>
      </c>
      <c r="E67" s="146"/>
    </row>
    <row r="68" spans="1:7" x14ac:dyDescent="0.25">
      <c r="B68" s="108">
        <v>2244</v>
      </c>
      <c r="C68" s="145">
        <f>[3]Tame!D59</f>
        <v>2513</v>
      </c>
      <c r="D68" s="146" t="s">
        <v>180</v>
      </c>
    </row>
    <row r="69" spans="1:7" x14ac:dyDescent="0.25">
      <c r="B69" s="108">
        <v>2249</v>
      </c>
      <c r="C69" s="145">
        <f>[3]Tame!D61</f>
        <v>4998.63</v>
      </c>
      <c r="D69" s="146" t="s">
        <v>181</v>
      </c>
    </row>
    <row r="70" spans="1:7" x14ac:dyDescent="0.25">
      <c r="B70" s="108">
        <v>2321</v>
      </c>
      <c r="C70" s="145">
        <f>[3]Tame!D71</f>
        <v>27947.64</v>
      </c>
      <c r="D70" s="146" t="s">
        <v>182</v>
      </c>
    </row>
    <row r="71" spans="1:7" x14ac:dyDescent="0.25">
      <c r="B71" s="108">
        <v>2341</v>
      </c>
      <c r="C71" s="145">
        <f>[3]Tame!D74</f>
        <v>49.26</v>
      </c>
      <c r="D71" s="146" t="s">
        <v>183</v>
      </c>
    </row>
    <row r="72" spans="1:7" x14ac:dyDescent="0.25">
      <c r="B72" s="108">
        <v>2350</v>
      </c>
      <c r="C72" s="145">
        <f>[3]Tame!D75</f>
        <v>5295.02</v>
      </c>
      <c r="D72" s="146" t="s">
        <v>184</v>
      </c>
    </row>
    <row r="73" spans="1:7" x14ac:dyDescent="0.25">
      <c r="A73" s="147" t="s">
        <v>185</v>
      </c>
      <c r="B73" s="147"/>
      <c r="C73" s="148">
        <f>SUM(C62:C72)</f>
        <v>97273.829999999987</v>
      </c>
      <c r="D73" s="195"/>
      <c r="E73" s="195"/>
      <c r="F73" s="195"/>
      <c r="G73" s="195"/>
    </row>
    <row r="74" spans="1:7" x14ac:dyDescent="0.25">
      <c r="C74" s="149"/>
      <c r="D74" s="195"/>
      <c r="E74" s="195"/>
      <c r="F74" s="195"/>
      <c r="G74" s="195"/>
    </row>
    <row r="75" spans="1:7" x14ac:dyDescent="0.25">
      <c r="C75" s="150">
        <f>(462*3)*1.2409*12</f>
        <v>20638.648799999999</v>
      </c>
      <c r="D75" s="151" t="s">
        <v>206</v>
      </c>
      <c r="E75" s="146"/>
      <c r="F75" s="146"/>
      <c r="G75" s="146"/>
    </row>
    <row r="76" spans="1:7" x14ac:dyDescent="0.25">
      <c r="A76" s="147" t="s">
        <v>187</v>
      </c>
      <c r="B76" s="147"/>
      <c r="C76" s="148">
        <f>SUM(C75:C75)</f>
        <v>20638.648799999999</v>
      </c>
      <c r="D76" s="146"/>
      <c r="E76" s="146"/>
      <c r="F76" s="146"/>
      <c r="G76" s="146"/>
    </row>
    <row r="77" spans="1:7" x14ac:dyDescent="0.25">
      <c r="C77" s="149"/>
      <c r="D77" s="146"/>
      <c r="E77" s="146"/>
      <c r="F77" s="146"/>
      <c r="G77" s="146"/>
    </row>
    <row r="78" spans="1:7" x14ac:dyDescent="0.25">
      <c r="C78" s="152">
        <f>(1725+1244)*1.2409*12</f>
        <v>44210.785199999998</v>
      </c>
      <c r="D78" s="151" t="s">
        <v>188</v>
      </c>
    </row>
    <row r="79" spans="1:7" x14ac:dyDescent="0.25">
      <c r="C79" s="153">
        <f>709*3*1.2409*12</f>
        <v>31672.731599999999</v>
      </c>
      <c r="D79" s="151" t="s">
        <v>189</v>
      </c>
      <c r="E79" s="146"/>
      <c r="F79" s="146"/>
      <c r="G79" s="146"/>
    </row>
    <row r="80" spans="1:7" x14ac:dyDescent="0.25">
      <c r="B80" s="108">
        <v>2211</v>
      </c>
      <c r="C80" s="108">
        <f>[3]Tame!D45</f>
        <v>478.4</v>
      </c>
      <c r="D80" s="108" t="s">
        <v>190</v>
      </c>
    </row>
    <row r="81" spans="1:4" x14ac:dyDescent="0.25">
      <c r="B81" s="108">
        <v>2219</v>
      </c>
      <c r="C81" s="108">
        <f>[3]Tame!D46</f>
        <v>1353.5900000000001</v>
      </c>
      <c r="D81" s="146" t="s">
        <v>191</v>
      </c>
    </row>
    <row r="82" spans="1:4" x14ac:dyDescent="0.25">
      <c r="B82" s="108">
        <v>2234</v>
      </c>
      <c r="C82" s="108">
        <f>[3]Tame!D53</f>
        <v>143.47999999999999</v>
      </c>
      <c r="D82" s="146" t="s">
        <v>192</v>
      </c>
    </row>
    <row r="83" spans="1:4" x14ac:dyDescent="0.25">
      <c r="B83" s="108">
        <v>2236</v>
      </c>
      <c r="C83" s="108">
        <f>[3]Tame!D54</f>
        <v>0</v>
      </c>
      <c r="D83" s="146" t="s">
        <v>193</v>
      </c>
    </row>
    <row r="84" spans="1:4" x14ac:dyDescent="0.25">
      <c r="B84" s="108">
        <v>2264</v>
      </c>
      <c r="C84" s="108">
        <f>[3]Tame!D63</f>
        <v>80.400000000000006</v>
      </c>
      <c r="D84" s="146" t="s">
        <v>194</v>
      </c>
    </row>
    <row r="85" spans="1:4" x14ac:dyDescent="0.25">
      <c r="B85" s="108">
        <v>2311</v>
      </c>
      <c r="C85" s="108">
        <f>[3]Tame!D68</f>
        <v>1016.0799999999999</v>
      </c>
      <c r="D85" s="146" t="s">
        <v>195</v>
      </c>
    </row>
    <row r="86" spans="1:4" x14ac:dyDescent="0.25">
      <c r="B86" s="108">
        <v>2312</v>
      </c>
      <c r="C86" s="108">
        <f>[3]Tame!D69</f>
        <v>1608.7800000000002</v>
      </c>
      <c r="D86" s="146" t="s">
        <v>66</v>
      </c>
    </row>
    <row r="87" spans="1:4" x14ac:dyDescent="0.25">
      <c r="B87" s="108">
        <v>2322</v>
      </c>
      <c r="C87" s="108">
        <f>[3]Tame!D72</f>
        <v>716.98</v>
      </c>
      <c r="D87" s="146" t="s">
        <v>196</v>
      </c>
    </row>
    <row r="88" spans="1:4" x14ac:dyDescent="0.25">
      <c r="B88" s="108">
        <v>2390</v>
      </c>
      <c r="C88" s="108">
        <f>[3]Tame!D76</f>
        <v>1877.65</v>
      </c>
    </row>
    <row r="89" spans="1:4" x14ac:dyDescent="0.25">
      <c r="A89" s="147" t="s">
        <v>197</v>
      </c>
      <c r="B89" s="147"/>
      <c r="C89" s="148">
        <f>SUM(C78:C88)</f>
        <v>83158.876799999969</v>
      </c>
    </row>
  </sheetData>
  <mergeCells count="21">
    <mergeCell ref="D39:R39"/>
    <mergeCell ref="H3:H4"/>
    <mergeCell ref="D4:G4"/>
    <mergeCell ref="D23:R23"/>
    <mergeCell ref="D24:R24"/>
    <mergeCell ref="D25:R25"/>
    <mergeCell ref="D26:R26"/>
    <mergeCell ref="D27:R27"/>
    <mergeCell ref="D28:R28"/>
    <mergeCell ref="D30:R30"/>
    <mergeCell ref="D37:R37"/>
    <mergeCell ref="D38:R38"/>
    <mergeCell ref="D55:Q55"/>
    <mergeCell ref="D73:G73"/>
    <mergeCell ref="D74:G74"/>
    <mergeCell ref="D40:R40"/>
    <mergeCell ref="D41:R41"/>
    <mergeCell ref="D42:R42"/>
    <mergeCell ref="D43:R43"/>
    <mergeCell ref="C47:Q47"/>
    <mergeCell ref="D53:Q53"/>
  </mergeCells>
  <pageMargins left="0.70866141732283472" right="0.70866141732283472" top="0.74803149606299213" bottom="0.74803149606299213" header="0.31496062992125984" footer="0.31496062992125984"/>
  <pageSetup paperSize="9" scale="69" orientation="landscape" r:id="rId1"/>
  <rowBreaks count="1" manualBreakCount="1">
    <brk id="46"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B537-57E9-4D4B-A758-EED4B0DCD82D}">
  <sheetPr>
    <tabColor rgb="FF92D050"/>
  </sheetPr>
  <dimension ref="A1:R89"/>
  <sheetViews>
    <sheetView zoomScaleNormal="100" workbookViewId="0">
      <selection activeCell="M4" sqref="M4"/>
    </sheetView>
  </sheetViews>
  <sheetFormatPr defaultRowHeight="15" x14ac:dyDescent="0.25"/>
  <cols>
    <col min="1" max="1" width="14.85546875" style="108" customWidth="1"/>
    <col min="2" max="2" width="12.85546875" style="108" bestFit="1" customWidth="1"/>
    <col min="3" max="3" width="10.42578125" style="108" bestFit="1" customWidth="1"/>
    <col min="4" max="4" width="26.7109375" style="108" customWidth="1"/>
    <col min="5" max="6" width="9.140625" style="108"/>
    <col min="7" max="7" width="11.5703125" style="108" customWidth="1"/>
    <col min="8" max="10" width="9.140625" style="108"/>
    <col min="11" max="11" width="9.42578125" style="108" bestFit="1" customWidth="1"/>
    <col min="12" max="13" width="9.28515625" style="108" bestFit="1" customWidth="1"/>
    <col min="14" max="256" width="9.140625" style="108"/>
    <col min="257" max="257" width="14.85546875" style="108" customWidth="1"/>
    <col min="258" max="258" width="12.85546875" style="108" bestFit="1" customWidth="1"/>
    <col min="259" max="259" width="10.42578125" style="108" bestFit="1" customWidth="1"/>
    <col min="260" max="260" width="26.7109375" style="108" customWidth="1"/>
    <col min="261" max="262" width="9.140625" style="108"/>
    <col min="263" max="263" width="11.5703125" style="108" customWidth="1"/>
    <col min="264" max="266" width="9.140625" style="108"/>
    <col min="267" max="267" width="9.42578125" style="108" bestFit="1" customWidth="1"/>
    <col min="268" max="269" width="9.28515625" style="108" bestFit="1" customWidth="1"/>
    <col min="270" max="512" width="9.140625" style="108"/>
    <col min="513" max="513" width="14.85546875" style="108" customWidth="1"/>
    <col min="514" max="514" width="12.85546875" style="108" bestFit="1" customWidth="1"/>
    <col min="515" max="515" width="10.42578125" style="108" bestFit="1" customWidth="1"/>
    <col min="516" max="516" width="26.7109375" style="108" customWidth="1"/>
    <col min="517" max="518" width="9.140625" style="108"/>
    <col min="519" max="519" width="11.5703125" style="108" customWidth="1"/>
    <col min="520" max="522" width="9.140625" style="108"/>
    <col min="523" max="523" width="9.42578125" style="108" bestFit="1" customWidth="1"/>
    <col min="524" max="525" width="9.28515625" style="108" bestFit="1" customWidth="1"/>
    <col min="526" max="768" width="9.140625" style="108"/>
    <col min="769" max="769" width="14.85546875" style="108" customWidth="1"/>
    <col min="770" max="770" width="12.85546875" style="108" bestFit="1" customWidth="1"/>
    <col min="771" max="771" width="10.42578125" style="108" bestFit="1" customWidth="1"/>
    <col min="772" max="772" width="26.7109375" style="108" customWidth="1"/>
    <col min="773" max="774" width="9.140625" style="108"/>
    <col min="775" max="775" width="11.5703125" style="108" customWidth="1"/>
    <col min="776" max="778" width="9.140625" style="108"/>
    <col min="779" max="779" width="9.42578125" style="108" bestFit="1" customWidth="1"/>
    <col min="780" max="781" width="9.28515625" style="108" bestFit="1" customWidth="1"/>
    <col min="782" max="1024" width="9.140625" style="108"/>
    <col min="1025" max="1025" width="14.85546875" style="108" customWidth="1"/>
    <col min="1026" max="1026" width="12.85546875" style="108" bestFit="1" customWidth="1"/>
    <col min="1027" max="1027" width="10.42578125" style="108" bestFit="1" customWidth="1"/>
    <col min="1028" max="1028" width="26.7109375" style="108" customWidth="1"/>
    <col min="1029" max="1030" width="9.140625" style="108"/>
    <col min="1031" max="1031" width="11.5703125" style="108" customWidth="1"/>
    <col min="1032" max="1034" width="9.140625" style="108"/>
    <col min="1035" max="1035" width="9.42578125" style="108" bestFit="1" customWidth="1"/>
    <col min="1036" max="1037" width="9.28515625" style="108" bestFit="1" customWidth="1"/>
    <col min="1038" max="1280" width="9.140625" style="108"/>
    <col min="1281" max="1281" width="14.85546875" style="108" customWidth="1"/>
    <col min="1282" max="1282" width="12.85546875" style="108" bestFit="1" customWidth="1"/>
    <col min="1283" max="1283" width="10.42578125" style="108" bestFit="1" customWidth="1"/>
    <col min="1284" max="1284" width="26.7109375" style="108" customWidth="1"/>
    <col min="1285" max="1286" width="9.140625" style="108"/>
    <col min="1287" max="1287" width="11.5703125" style="108" customWidth="1"/>
    <col min="1288" max="1290" width="9.140625" style="108"/>
    <col min="1291" max="1291" width="9.42578125" style="108" bestFit="1" customWidth="1"/>
    <col min="1292" max="1293" width="9.28515625" style="108" bestFit="1" customWidth="1"/>
    <col min="1294" max="1536" width="9.140625" style="108"/>
    <col min="1537" max="1537" width="14.85546875" style="108" customWidth="1"/>
    <col min="1538" max="1538" width="12.85546875" style="108" bestFit="1" customWidth="1"/>
    <col min="1539" max="1539" width="10.42578125" style="108" bestFit="1" customWidth="1"/>
    <col min="1540" max="1540" width="26.7109375" style="108" customWidth="1"/>
    <col min="1541" max="1542" width="9.140625" style="108"/>
    <col min="1543" max="1543" width="11.5703125" style="108" customWidth="1"/>
    <col min="1544" max="1546" width="9.140625" style="108"/>
    <col min="1547" max="1547" width="9.42578125" style="108" bestFit="1" customWidth="1"/>
    <col min="1548" max="1549" width="9.28515625" style="108" bestFit="1" customWidth="1"/>
    <col min="1550" max="1792" width="9.140625" style="108"/>
    <col min="1793" max="1793" width="14.85546875" style="108" customWidth="1"/>
    <col min="1794" max="1794" width="12.85546875" style="108" bestFit="1" customWidth="1"/>
    <col min="1795" max="1795" width="10.42578125" style="108" bestFit="1" customWidth="1"/>
    <col min="1796" max="1796" width="26.7109375" style="108" customWidth="1"/>
    <col min="1797" max="1798" width="9.140625" style="108"/>
    <col min="1799" max="1799" width="11.5703125" style="108" customWidth="1"/>
    <col min="1800" max="1802" width="9.140625" style="108"/>
    <col min="1803" max="1803" width="9.42578125" style="108" bestFit="1" customWidth="1"/>
    <col min="1804" max="1805" width="9.28515625" style="108" bestFit="1" customWidth="1"/>
    <col min="1806" max="2048" width="9.140625" style="108"/>
    <col min="2049" max="2049" width="14.85546875" style="108" customWidth="1"/>
    <col min="2050" max="2050" width="12.85546875" style="108" bestFit="1" customWidth="1"/>
    <col min="2051" max="2051" width="10.42578125" style="108" bestFit="1" customWidth="1"/>
    <col min="2052" max="2052" width="26.7109375" style="108" customWidth="1"/>
    <col min="2053" max="2054" width="9.140625" style="108"/>
    <col min="2055" max="2055" width="11.5703125" style="108" customWidth="1"/>
    <col min="2056" max="2058" width="9.140625" style="108"/>
    <col min="2059" max="2059" width="9.42578125" style="108" bestFit="1" customWidth="1"/>
    <col min="2060" max="2061" width="9.28515625" style="108" bestFit="1" customWidth="1"/>
    <col min="2062" max="2304" width="9.140625" style="108"/>
    <col min="2305" max="2305" width="14.85546875" style="108" customWidth="1"/>
    <col min="2306" max="2306" width="12.85546875" style="108" bestFit="1" customWidth="1"/>
    <col min="2307" max="2307" width="10.42578125" style="108" bestFit="1" customWidth="1"/>
    <col min="2308" max="2308" width="26.7109375" style="108" customWidth="1"/>
    <col min="2309" max="2310" width="9.140625" style="108"/>
    <col min="2311" max="2311" width="11.5703125" style="108" customWidth="1"/>
    <col min="2312" max="2314" width="9.140625" style="108"/>
    <col min="2315" max="2315" width="9.42578125" style="108" bestFit="1" customWidth="1"/>
    <col min="2316" max="2317" width="9.28515625" style="108" bestFit="1" customWidth="1"/>
    <col min="2318" max="2560" width="9.140625" style="108"/>
    <col min="2561" max="2561" width="14.85546875" style="108" customWidth="1"/>
    <col min="2562" max="2562" width="12.85546875" style="108" bestFit="1" customWidth="1"/>
    <col min="2563" max="2563" width="10.42578125" style="108" bestFit="1" customWidth="1"/>
    <col min="2564" max="2564" width="26.7109375" style="108" customWidth="1"/>
    <col min="2565" max="2566" width="9.140625" style="108"/>
    <col min="2567" max="2567" width="11.5703125" style="108" customWidth="1"/>
    <col min="2568" max="2570" width="9.140625" style="108"/>
    <col min="2571" max="2571" width="9.42578125" style="108" bestFit="1" customWidth="1"/>
    <col min="2572" max="2573" width="9.28515625" style="108" bestFit="1" customWidth="1"/>
    <col min="2574" max="2816" width="9.140625" style="108"/>
    <col min="2817" max="2817" width="14.85546875" style="108" customWidth="1"/>
    <col min="2818" max="2818" width="12.85546875" style="108" bestFit="1" customWidth="1"/>
    <col min="2819" max="2819" width="10.42578125" style="108" bestFit="1" customWidth="1"/>
    <col min="2820" max="2820" width="26.7109375" style="108" customWidth="1"/>
    <col min="2821" max="2822" width="9.140625" style="108"/>
    <col min="2823" max="2823" width="11.5703125" style="108" customWidth="1"/>
    <col min="2824" max="2826" width="9.140625" style="108"/>
    <col min="2827" max="2827" width="9.42578125" style="108" bestFit="1" customWidth="1"/>
    <col min="2828" max="2829" width="9.28515625" style="108" bestFit="1" customWidth="1"/>
    <col min="2830" max="3072" width="9.140625" style="108"/>
    <col min="3073" max="3073" width="14.85546875" style="108" customWidth="1"/>
    <col min="3074" max="3074" width="12.85546875" style="108" bestFit="1" customWidth="1"/>
    <col min="3075" max="3075" width="10.42578125" style="108" bestFit="1" customWidth="1"/>
    <col min="3076" max="3076" width="26.7109375" style="108" customWidth="1"/>
    <col min="3077" max="3078" width="9.140625" style="108"/>
    <col min="3079" max="3079" width="11.5703125" style="108" customWidth="1"/>
    <col min="3080" max="3082" width="9.140625" style="108"/>
    <col min="3083" max="3083" width="9.42578125" style="108" bestFit="1" customWidth="1"/>
    <col min="3084" max="3085" width="9.28515625" style="108" bestFit="1" customWidth="1"/>
    <col min="3086" max="3328" width="9.140625" style="108"/>
    <col min="3329" max="3329" width="14.85546875" style="108" customWidth="1"/>
    <col min="3330" max="3330" width="12.85546875" style="108" bestFit="1" customWidth="1"/>
    <col min="3331" max="3331" width="10.42578125" style="108" bestFit="1" customWidth="1"/>
    <col min="3332" max="3332" width="26.7109375" style="108" customWidth="1"/>
    <col min="3333" max="3334" width="9.140625" style="108"/>
    <col min="3335" max="3335" width="11.5703125" style="108" customWidth="1"/>
    <col min="3336" max="3338" width="9.140625" style="108"/>
    <col min="3339" max="3339" width="9.42578125" style="108" bestFit="1" customWidth="1"/>
    <col min="3340" max="3341" width="9.28515625" style="108" bestFit="1" customWidth="1"/>
    <col min="3342" max="3584" width="9.140625" style="108"/>
    <col min="3585" max="3585" width="14.85546875" style="108" customWidth="1"/>
    <col min="3586" max="3586" width="12.85546875" style="108" bestFit="1" customWidth="1"/>
    <col min="3587" max="3587" width="10.42578125" style="108" bestFit="1" customWidth="1"/>
    <col min="3588" max="3588" width="26.7109375" style="108" customWidth="1"/>
    <col min="3589" max="3590" width="9.140625" style="108"/>
    <col min="3591" max="3591" width="11.5703125" style="108" customWidth="1"/>
    <col min="3592" max="3594" width="9.140625" style="108"/>
    <col min="3595" max="3595" width="9.42578125" style="108" bestFit="1" customWidth="1"/>
    <col min="3596" max="3597" width="9.28515625" style="108" bestFit="1" customWidth="1"/>
    <col min="3598" max="3840" width="9.140625" style="108"/>
    <col min="3841" max="3841" width="14.85546875" style="108" customWidth="1"/>
    <col min="3842" max="3842" width="12.85546875" style="108" bestFit="1" customWidth="1"/>
    <col min="3843" max="3843" width="10.42578125" style="108" bestFit="1" customWidth="1"/>
    <col min="3844" max="3844" width="26.7109375" style="108" customWidth="1"/>
    <col min="3845" max="3846" width="9.140625" style="108"/>
    <col min="3847" max="3847" width="11.5703125" style="108" customWidth="1"/>
    <col min="3848" max="3850" width="9.140625" style="108"/>
    <col min="3851" max="3851" width="9.42578125" style="108" bestFit="1" customWidth="1"/>
    <col min="3852" max="3853" width="9.28515625" style="108" bestFit="1" customWidth="1"/>
    <col min="3854" max="4096" width="9.140625" style="108"/>
    <col min="4097" max="4097" width="14.85546875" style="108" customWidth="1"/>
    <col min="4098" max="4098" width="12.85546875" style="108" bestFit="1" customWidth="1"/>
    <col min="4099" max="4099" width="10.42578125" style="108" bestFit="1" customWidth="1"/>
    <col min="4100" max="4100" width="26.7109375" style="108" customWidth="1"/>
    <col min="4101" max="4102" width="9.140625" style="108"/>
    <col min="4103" max="4103" width="11.5703125" style="108" customWidth="1"/>
    <col min="4104" max="4106" width="9.140625" style="108"/>
    <col min="4107" max="4107" width="9.42578125" style="108" bestFit="1" customWidth="1"/>
    <col min="4108" max="4109" width="9.28515625" style="108" bestFit="1" customWidth="1"/>
    <col min="4110" max="4352" width="9.140625" style="108"/>
    <col min="4353" max="4353" width="14.85546875" style="108" customWidth="1"/>
    <col min="4354" max="4354" width="12.85546875" style="108" bestFit="1" customWidth="1"/>
    <col min="4355" max="4355" width="10.42578125" style="108" bestFit="1" customWidth="1"/>
    <col min="4356" max="4356" width="26.7109375" style="108" customWidth="1"/>
    <col min="4357" max="4358" width="9.140625" style="108"/>
    <col min="4359" max="4359" width="11.5703125" style="108" customWidth="1"/>
    <col min="4360" max="4362" width="9.140625" style="108"/>
    <col min="4363" max="4363" width="9.42578125" style="108" bestFit="1" customWidth="1"/>
    <col min="4364" max="4365" width="9.28515625" style="108" bestFit="1" customWidth="1"/>
    <col min="4366" max="4608" width="9.140625" style="108"/>
    <col min="4609" max="4609" width="14.85546875" style="108" customWidth="1"/>
    <col min="4610" max="4610" width="12.85546875" style="108" bestFit="1" customWidth="1"/>
    <col min="4611" max="4611" width="10.42578125" style="108" bestFit="1" customWidth="1"/>
    <col min="4612" max="4612" width="26.7109375" style="108" customWidth="1"/>
    <col min="4613" max="4614" width="9.140625" style="108"/>
    <col min="4615" max="4615" width="11.5703125" style="108" customWidth="1"/>
    <col min="4616" max="4618" width="9.140625" style="108"/>
    <col min="4619" max="4619" width="9.42578125" style="108" bestFit="1" customWidth="1"/>
    <col min="4620" max="4621" width="9.28515625" style="108" bestFit="1" customWidth="1"/>
    <col min="4622" max="4864" width="9.140625" style="108"/>
    <col min="4865" max="4865" width="14.85546875" style="108" customWidth="1"/>
    <col min="4866" max="4866" width="12.85546875" style="108" bestFit="1" customWidth="1"/>
    <col min="4867" max="4867" width="10.42578125" style="108" bestFit="1" customWidth="1"/>
    <col min="4868" max="4868" width="26.7109375" style="108" customWidth="1"/>
    <col min="4869" max="4870" width="9.140625" style="108"/>
    <col min="4871" max="4871" width="11.5703125" style="108" customWidth="1"/>
    <col min="4872" max="4874" width="9.140625" style="108"/>
    <col min="4875" max="4875" width="9.42578125" style="108" bestFit="1" customWidth="1"/>
    <col min="4876" max="4877" width="9.28515625" style="108" bestFit="1" customWidth="1"/>
    <col min="4878" max="5120" width="9.140625" style="108"/>
    <col min="5121" max="5121" width="14.85546875" style="108" customWidth="1"/>
    <col min="5122" max="5122" width="12.85546875" style="108" bestFit="1" customWidth="1"/>
    <col min="5123" max="5123" width="10.42578125" style="108" bestFit="1" customWidth="1"/>
    <col min="5124" max="5124" width="26.7109375" style="108" customWidth="1"/>
    <col min="5125" max="5126" width="9.140625" style="108"/>
    <col min="5127" max="5127" width="11.5703125" style="108" customWidth="1"/>
    <col min="5128" max="5130" width="9.140625" style="108"/>
    <col min="5131" max="5131" width="9.42578125" style="108" bestFit="1" customWidth="1"/>
    <col min="5132" max="5133" width="9.28515625" style="108" bestFit="1" customWidth="1"/>
    <col min="5134" max="5376" width="9.140625" style="108"/>
    <col min="5377" max="5377" width="14.85546875" style="108" customWidth="1"/>
    <col min="5378" max="5378" width="12.85546875" style="108" bestFit="1" customWidth="1"/>
    <col min="5379" max="5379" width="10.42578125" style="108" bestFit="1" customWidth="1"/>
    <col min="5380" max="5380" width="26.7109375" style="108" customWidth="1"/>
    <col min="5381" max="5382" width="9.140625" style="108"/>
    <col min="5383" max="5383" width="11.5703125" style="108" customWidth="1"/>
    <col min="5384" max="5386" width="9.140625" style="108"/>
    <col min="5387" max="5387" width="9.42578125" style="108" bestFit="1" customWidth="1"/>
    <col min="5388" max="5389" width="9.28515625" style="108" bestFit="1" customWidth="1"/>
    <col min="5390" max="5632" width="9.140625" style="108"/>
    <col min="5633" max="5633" width="14.85546875" style="108" customWidth="1"/>
    <col min="5634" max="5634" width="12.85546875" style="108" bestFit="1" customWidth="1"/>
    <col min="5635" max="5635" width="10.42578125" style="108" bestFit="1" customWidth="1"/>
    <col min="5636" max="5636" width="26.7109375" style="108" customWidth="1"/>
    <col min="5637" max="5638" width="9.140625" style="108"/>
    <col min="5639" max="5639" width="11.5703125" style="108" customWidth="1"/>
    <col min="5640" max="5642" width="9.140625" style="108"/>
    <col min="5643" max="5643" width="9.42578125" style="108" bestFit="1" customWidth="1"/>
    <col min="5644" max="5645" width="9.28515625" style="108" bestFit="1" customWidth="1"/>
    <col min="5646" max="5888" width="9.140625" style="108"/>
    <col min="5889" max="5889" width="14.85546875" style="108" customWidth="1"/>
    <col min="5890" max="5890" width="12.85546875" style="108" bestFit="1" customWidth="1"/>
    <col min="5891" max="5891" width="10.42578125" style="108" bestFit="1" customWidth="1"/>
    <col min="5892" max="5892" width="26.7109375" style="108" customWidth="1"/>
    <col min="5893" max="5894" width="9.140625" style="108"/>
    <col min="5895" max="5895" width="11.5703125" style="108" customWidth="1"/>
    <col min="5896" max="5898" width="9.140625" style="108"/>
    <col min="5899" max="5899" width="9.42578125" style="108" bestFit="1" customWidth="1"/>
    <col min="5900" max="5901" width="9.28515625" style="108" bestFit="1" customWidth="1"/>
    <col min="5902" max="6144" width="9.140625" style="108"/>
    <col min="6145" max="6145" width="14.85546875" style="108" customWidth="1"/>
    <col min="6146" max="6146" width="12.85546875" style="108" bestFit="1" customWidth="1"/>
    <col min="6147" max="6147" width="10.42578125" style="108" bestFit="1" customWidth="1"/>
    <col min="6148" max="6148" width="26.7109375" style="108" customWidth="1"/>
    <col min="6149" max="6150" width="9.140625" style="108"/>
    <col min="6151" max="6151" width="11.5703125" style="108" customWidth="1"/>
    <col min="6152" max="6154" width="9.140625" style="108"/>
    <col min="6155" max="6155" width="9.42578125" style="108" bestFit="1" customWidth="1"/>
    <col min="6156" max="6157" width="9.28515625" style="108" bestFit="1" customWidth="1"/>
    <col min="6158" max="6400" width="9.140625" style="108"/>
    <col min="6401" max="6401" width="14.85546875" style="108" customWidth="1"/>
    <col min="6402" max="6402" width="12.85546875" style="108" bestFit="1" customWidth="1"/>
    <col min="6403" max="6403" width="10.42578125" style="108" bestFit="1" customWidth="1"/>
    <col min="6404" max="6404" width="26.7109375" style="108" customWidth="1"/>
    <col min="6405" max="6406" width="9.140625" style="108"/>
    <col min="6407" max="6407" width="11.5703125" style="108" customWidth="1"/>
    <col min="6408" max="6410" width="9.140625" style="108"/>
    <col min="6411" max="6411" width="9.42578125" style="108" bestFit="1" customWidth="1"/>
    <col min="6412" max="6413" width="9.28515625" style="108" bestFit="1" customWidth="1"/>
    <col min="6414" max="6656" width="9.140625" style="108"/>
    <col min="6657" max="6657" width="14.85546875" style="108" customWidth="1"/>
    <col min="6658" max="6658" width="12.85546875" style="108" bestFit="1" customWidth="1"/>
    <col min="6659" max="6659" width="10.42578125" style="108" bestFit="1" customWidth="1"/>
    <col min="6660" max="6660" width="26.7109375" style="108" customWidth="1"/>
    <col min="6661" max="6662" width="9.140625" style="108"/>
    <col min="6663" max="6663" width="11.5703125" style="108" customWidth="1"/>
    <col min="6664" max="6666" width="9.140625" style="108"/>
    <col min="6667" max="6667" width="9.42578125" style="108" bestFit="1" customWidth="1"/>
    <col min="6668" max="6669" width="9.28515625" style="108" bestFit="1" customWidth="1"/>
    <col min="6670" max="6912" width="9.140625" style="108"/>
    <col min="6913" max="6913" width="14.85546875" style="108" customWidth="1"/>
    <col min="6914" max="6914" width="12.85546875" style="108" bestFit="1" customWidth="1"/>
    <col min="6915" max="6915" width="10.42578125" style="108" bestFit="1" customWidth="1"/>
    <col min="6916" max="6916" width="26.7109375" style="108" customWidth="1"/>
    <col min="6917" max="6918" width="9.140625" style="108"/>
    <col min="6919" max="6919" width="11.5703125" style="108" customWidth="1"/>
    <col min="6920" max="6922" width="9.140625" style="108"/>
    <col min="6923" max="6923" width="9.42578125" style="108" bestFit="1" customWidth="1"/>
    <col min="6924" max="6925" width="9.28515625" style="108" bestFit="1" customWidth="1"/>
    <col min="6926" max="7168" width="9.140625" style="108"/>
    <col min="7169" max="7169" width="14.85546875" style="108" customWidth="1"/>
    <col min="7170" max="7170" width="12.85546875" style="108" bestFit="1" customWidth="1"/>
    <col min="7171" max="7171" width="10.42578125" style="108" bestFit="1" customWidth="1"/>
    <col min="7172" max="7172" width="26.7109375" style="108" customWidth="1"/>
    <col min="7173" max="7174" width="9.140625" style="108"/>
    <col min="7175" max="7175" width="11.5703125" style="108" customWidth="1"/>
    <col min="7176" max="7178" width="9.140625" style="108"/>
    <col min="7179" max="7179" width="9.42578125" style="108" bestFit="1" customWidth="1"/>
    <col min="7180" max="7181" width="9.28515625" style="108" bestFit="1" customWidth="1"/>
    <col min="7182" max="7424" width="9.140625" style="108"/>
    <col min="7425" max="7425" width="14.85546875" style="108" customWidth="1"/>
    <col min="7426" max="7426" width="12.85546875" style="108" bestFit="1" customWidth="1"/>
    <col min="7427" max="7427" width="10.42578125" style="108" bestFit="1" customWidth="1"/>
    <col min="7428" max="7428" width="26.7109375" style="108" customWidth="1"/>
    <col min="7429" max="7430" width="9.140625" style="108"/>
    <col min="7431" max="7431" width="11.5703125" style="108" customWidth="1"/>
    <col min="7432" max="7434" width="9.140625" style="108"/>
    <col min="7435" max="7435" width="9.42578125" style="108" bestFit="1" customWidth="1"/>
    <col min="7436" max="7437" width="9.28515625" style="108" bestFit="1" customWidth="1"/>
    <col min="7438" max="7680" width="9.140625" style="108"/>
    <col min="7681" max="7681" width="14.85546875" style="108" customWidth="1"/>
    <col min="7682" max="7682" width="12.85546875" style="108" bestFit="1" customWidth="1"/>
    <col min="7683" max="7683" width="10.42578125" style="108" bestFit="1" customWidth="1"/>
    <col min="7684" max="7684" width="26.7109375" style="108" customWidth="1"/>
    <col min="7685" max="7686" width="9.140625" style="108"/>
    <col min="7687" max="7687" width="11.5703125" style="108" customWidth="1"/>
    <col min="7688" max="7690" width="9.140625" style="108"/>
    <col min="7691" max="7691" width="9.42578125" style="108" bestFit="1" customWidth="1"/>
    <col min="7692" max="7693" width="9.28515625" style="108" bestFit="1" customWidth="1"/>
    <col min="7694" max="7936" width="9.140625" style="108"/>
    <col min="7937" max="7937" width="14.85546875" style="108" customWidth="1"/>
    <col min="7938" max="7938" width="12.85546875" style="108" bestFit="1" customWidth="1"/>
    <col min="7939" max="7939" width="10.42578125" style="108" bestFit="1" customWidth="1"/>
    <col min="7940" max="7940" width="26.7109375" style="108" customWidth="1"/>
    <col min="7941" max="7942" width="9.140625" style="108"/>
    <col min="7943" max="7943" width="11.5703125" style="108" customWidth="1"/>
    <col min="7944" max="7946" width="9.140625" style="108"/>
    <col min="7947" max="7947" width="9.42578125" style="108" bestFit="1" customWidth="1"/>
    <col min="7948" max="7949" width="9.28515625" style="108" bestFit="1" customWidth="1"/>
    <col min="7950" max="8192" width="9.140625" style="108"/>
    <col min="8193" max="8193" width="14.85546875" style="108" customWidth="1"/>
    <col min="8194" max="8194" width="12.85546875" style="108" bestFit="1" customWidth="1"/>
    <col min="8195" max="8195" width="10.42578125" style="108" bestFit="1" customWidth="1"/>
    <col min="8196" max="8196" width="26.7109375" style="108" customWidth="1"/>
    <col min="8197" max="8198" width="9.140625" style="108"/>
    <col min="8199" max="8199" width="11.5703125" style="108" customWidth="1"/>
    <col min="8200" max="8202" width="9.140625" style="108"/>
    <col min="8203" max="8203" width="9.42578125" style="108" bestFit="1" customWidth="1"/>
    <col min="8204" max="8205" width="9.28515625" style="108" bestFit="1" customWidth="1"/>
    <col min="8206" max="8448" width="9.140625" style="108"/>
    <col min="8449" max="8449" width="14.85546875" style="108" customWidth="1"/>
    <col min="8450" max="8450" width="12.85546875" style="108" bestFit="1" customWidth="1"/>
    <col min="8451" max="8451" width="10.42578125" style="108" bestFit="1" customWidth="1"/>
    <col min="8452" max="8452" width="26.7109375" style="108" customWidth="1"/>
    <col min="8453" max="8454" width="9.140625" style="108"/>
    <col min="8455" max="8455" width="11.5703125" style="108" customWidth="1"/>
    <col min="8456" max="8458" width="9.140625" style="108"/>
    <col min="8459" max="8459" width="9.42578125" style="108" bestFit="1" customWidth="1"/>
    <col min="8460" max="8461" width="9.28515625" style="108" bestFit="1" customWidth="1"/>
    <col min="8462" max="8704" width="9.140625" style="108"/>
    <col min="8705" max="8705" width="14.85546875" style="108" customWidth="1"/>
    <col min="8706" max="8706" width="12.85546875" style="108" bestFit="1" customWidth="1"/>
    <col min="8707" max="8707" width="10.42578125" style="108" bestFit="1" customWidth="1"/>
    <col min="8708" max="8708" width="26.7109375" style="108" customWidth="1"/>
    <col min="8709" max="8710" width="9.140625" style="108"/>
    <col min="8711" max="8711" width="11.5703125" style="108" customWidth="1"/>
    <col min="8712" max="8714" width="9.140625" style="108"/>
    <col min="8715" max="8715" width="9.42578125" style="108" bestFit="1" customWidth="1"/>
    <col min="8716" max="8717" width="9.28515625" style="108" bestFit="1" customWidth="1"/>
    <col min="8718" max="8960" width="9.140625" style="108"/>
    <col min="8961" max="8961" width="14.85546875" style="108" customWidth="1"/>
    <col min="8962" max="8962" width="12.85546875" style="108" bestFit="1" customWidth="1"/>
    <col min="8963" max="8963" width="10.42578125" style="108" bestFit="1" customWidth="1"/>
    <col min="8964" max="8964" width="26.7109375" style="108" customWidth="1"/>
    <col min="8965" max="8966" width="9.140625" style="108"/>
    <col min="8967" max="8967" width="11.5703125" style="108" customWidth="1"/>
    <col min="8968" max="8970" width="9.140625" style="108"/>
    <col min="8971" max="8971" width="9.42578125" style="108" bestFit="1" customWidth="1"/>
    <col min="8972" max="8973" width="9.28515625" style="108" bestFit="1" customWidth="1"/>
    <col min="8974" max="9216" width="9.140625" style="108"/>
    <col min="9217" max="9217" width="14.85546875" style="108" customWidth="1"/>
    <col min="9218" max="9218" width="12.85546875" style="108" bestFit="1" customWidth="1"/>
    <col min="9219" max="9219" width="10.42578125" style="108" bestFit="1" customWidth="1"/>
    <col min="9220" max="9220" width="26.7109375" style="108" customWidth="1"/>
    <col min="9221" max="9222" width="9.140625" style="108"/>
    <col min="9223" max="9223" width="11.5703125" style="108" customWidth="1"/>
    <col min="9224" max="9226" width="9.140625" style="108"/>
    <col min="9227" max="9227" width="9.42578125" style="108" bestFit="1" customWidth="1"/>
    <col min="9228" max="9229" width="9.28515625" style="108" bestFit="1" customWidth="1"/>
    <col min="9230" max="9472" width="9.140625" style="108"/>
    <col min="9473" max="9473" width="14.85546875" style="108" customWidth="1"/>
    <col min="9474" max="9474" width="12.85546875" style="108" bestFit="1" customWidth="1"/>
    <col min="9475" max="9475" width="10.42578125" style="108" bestFit="1" customWidth="1"/>
    <col min="9476" max="9476" width="26.7109375" style="108" customWidth="1"/>
    <col min="9477" max="9478" width="9.140625" style="108"/>
    <col min="9479" max="9479" width="11.5703125" style="108" customWidth="1"/>
    <col min="9480" max="9482" width="9.140625" style="108"/>
    <col min="9483" max="9483" width="9.42578125" style="108" bestFit="1" customWidth="1"/>
    <col min="9484" max="9485" width="9.28515625" style="108" bestFit="1" customWidth="1"/>
    <col min="9486" max="9728" width="9.140625" style="108"/>
    <col min="9729" max="9729" width="14.85546875" style="108" customWidth="1"/>
    <col min="9730" max="9730" width="12.85546875" style="108" bestFit="1" customWidth="1"/>
    <col min="9731" max="9731" width="10.42578125" style="108" bestFit="1" customWidth="1"/>
    <col min="9732" max="9732" width="26.7109375" style="108" customWidth="1"/>
    <col min="9733" max="9734" width="9.140625" style="108"/>
    <col min="9735" max="9735" width="11.5703125" style="108" customWidth="1"/>
    <col min="9736" max="9738" width="9.140625" style="108"/>
    <col min="9739" max="9739" width="9.42578125" style="108" bestFit="1" customWidth="1"/>
    <col min="9740" max="9741" width="9.28515625" style="108" bestFit="1" customWidth="1"/>
    <col min="9742" max="9984" width="9.140625" style="108"/>
    <col min="9985" max="9985" width="14.85546875" style="108" customWidth="1"/>
    <col min="9986" max="9986" width="12.85546875" style="108" bestFit="1" customWidth="1"/>
    <col min="9987" max="9987" width="10.42578125" style="108" bestFit="1" customWidth="1"/>
    <col min="9988" max="9988" width="26.7109375" style="108" customWidth="1"/>
    <col min="9989" max="9990" width="9.140625" style="108"/>
    <col min="9991" max="9991" width="11.5703125" style="108" customWidth="1"/>
    <col min="9992" max="9994" width="9.140625" style="108"/>
    <col min="9995" max="9995" width="9.42578125" style="108" bestFit="1" customWidth="1"/>
    <col min="9996" max="9997" width="9.28515625" style="108" bestFit="1" customWidth="1"/>
    <col min="9998" max="10240" width="9.140625" style="108"/>
    <col min="10241" max="10241" width="14.85546875" style="108" customWidth="1"/>
    <col min="10242" max="10242" width="12.85546875" style="108" bestFit="1" customWidth="1"/>
    <col min="10243" max="10243" width="10.42578125" style="108" bestFit="1" customWidth="1"/>
    <col min="10244" max="10244" width="26.7109375" style="108" customWidth="1"/>
    <col min="10245" max="10246" width="9.140625" style="108"/>
    <col min="10247" max="10247" width="11.5703125" style="108" customWidth="1"/>
    <col min="10248" max="10250" width="9.140625" style="108"/>
    <col min="10251" max="10251" width="9.42578125" style="108" bestFit="1" customWidth="1"/>
    <col min="10252" max="10253" width="9.28515625" style="108" bestFit="1" customWidth="1"/>
    <col min="10254" max="10496" width="9.140625" style="108"/>
    <col min="10497" max="10497" width="14.85546875" style="108" customWidth="1"/>
    <col min="10498" max="10498" width="12.85546875" style="108" bestFit="1" customWidth="1"/>
    <col min="10499" max="10499" width="10.42578125" style="108" bestFit="1" customWidth="1"/>
    <col min="10500" max="10500" width="26.7109375" style="108" customWidth="1"/>
    <col min="10501" max="10502" width="9.140625" style="108"/>
    <col min="10503" max="10503" width="11.5703125" style="108" customWidth="1"/>
    <col min="10504" max="10506" width="9.140625" style="108"/>
    <col min="10507" max="10507" width="9.42578125" style="108" bestFit="1" customWidth="1"/>
    <col min="10508" max="10509" width="9.28515625" style="108" bestFit="1" customWidth="1"/>
    <col min="10510" max="10752" width="9.140625" style="108"/>
    <col min="10753" max="10753" width="14.85546875" style="108" customWidth="1"/>
    <col min="10754" max="10754" width="12.85546875" style="108" bestFit="1" customWidth="1"/>
    <col min="10755" max="10755" width="10.42578125" style="108" bestFit="1" customWidth="1"/>
    <col min="10756" max="10756" width="26.7109375" style="108" customWidth="1"/>
    <col min="10757" max="10758" width="9.140625" style="108"/>
    <col min="10759" max="10759" width="11.5703125" style="108" customWidth="1"/>
    <col min="10760" max="10762" width="9.140625" style="108"/>
    <col min="10763" max="10763" width="9.42578125" style="108" bestFit="1" customWidth="1"/>
    <col min="10764" max="10765" width="9.28515625" style="108" bestFit="1" customWidth="1"/>
    <col min="10766" max="11008" width="9.140625" style="108"/>
    <col min="11009" max="11009" width="14.85546875" style="108" customWidth="1"/>
    <col min="11010" max="11010" width="12.85546875" style="108" bestFit="1" customWidth="1"/>
    <col min="11011" max="11011" width="10.42578125" style="108" bestFit="1" customWidth="1"/>
    <col min="11012" max="11012" width="26.7109375" style="108" customWidth="1"/>
    <col min="11013" max="11014" width="9.140625" style="108"/>
    <col min="11015" max="11015" width="11.5703125" style="108" customWidth="1"/>
    <col min="11016" max="11018" width="9.140625" style="108"/>
    <col min="11019" max="11019" width="9.42578125" style="108" bestFit="1" customWidth="1"/>
    <col min="11020" max="11021" width="9.28515625" style="108" bestFit="1" customWidth="1"/>
    <col min="11022" max="11264" width="9.140625" style="108"/>
    <col min="11265" max="11265" width="14.85546875" style="108" customWidth="1"/>
    <col min="11266" max="11266" width="12.85546875" style="108" bestFit="1" customWidth="1"/>
    <col min="11267" max="11267" width="10.42578125" style="108" bestFit="1" customWidth="1"/>
    <col min="11268" max="11268" width="26.7109375" style="108" customWidth="1"/>
    <col min="11269" max="11270" width="9.140625" style="108"/>
    <col min="11271" max="11271" width="11.5703125" style="108" customWidth="1"/>
    <col min="11272" max="11274" width="9.140625" style="108"/>
    <col min="11275" max="11275" width="9.42578125" style="108" bestFit="1" customWidth="1"/>
    <col min="11276" max="11277" width="9.28515625" style="108" bestFit="1" customWidth="1"/>
    <col min="11278" max="11520" width="9.140625" style="108"/>
    <col min="11521" max="11521" width="14.85546875" style="108" customWidth="1"/>
    <col min="11522" max="11522" width="12.85546875" style="108" bestFit="1" customWidth="1"/>
    <col min="11523" max="11523" width="10.42578125" style="108" bestFit="1" customWidth="1"/>
    <col min="11524" max="11524" width="26.7109375" style="108" customWidth="1"/>
    <col min="11525" max="11526" width="9.140625" style="108"/>
    <col min="11527" max="11527" width="11.5703125" style="108" customWidth="1"/>
    <col min="11528" max="11530" width="9.140625" style="108"/>
    <col min="11531" max="11531" width="9.42578125" style="108" bestFit="1" customWidth="1"/>
    <col min="11532" max="11533" width="9.28515625" style="108" bestFit="1" customWidth="1"/>
    <col min="11534" max="11776" width="9.140625" style="108"/>
    <col min="11777" max="11777" width="14.85546875" style="108" customWidth="1"/>
    <col min="11778" max="11778" width="12.85546875" style="108" bestFit="1" customWidth="1"/>
    <col min="11779" max="11779" width="10.42578125" style="108" bestFit="1" customWidth="1"/>
    <col min="11780" max="11780" width="26.7109375" style="108" customWidth="1"/>
    <col min="11781" max="11782" width="9.140625" style="108"/>
    <col min="11783" max="11783" width="11.5703125" style="108" customWidth="1"/>
    <col min="11784" max="11786" width="9.140625" style="108"/>
    <col min="11787" max="11787" width="9.42578125" style="108" bestFit="1" customWidth="1"/>
    <col min="11788" max="11789" width="9.28515625" style="108" bestFit="1" customWidth="1"/>
    <col min="11790" max="12032" width="9.140625" style="108"/>
    <col min="12033" max="12033" width="14.85546875" style="108" customWidth="1"/>
    <col min="12034" max="12034" width="12.85546875" style="108" bestFit="1" customWidth="1"/>
    <col min="12035" max="12035" width="10.42578125" style="108" bestFit="1" customWidth="1"/>
    <col min="12036" max="12036" width="26.7109375" style="108" customWidth="1"/>
    <col min="12037" max="12038" width="9.140625" style="108"/>
    <col min="12039" max="12039" width="11.5703125" style="108" customWidth="1"/>
    <col min="12040" max="12042" width="9.140625" style="108"/>
    <col min="12043" max="12043" width="9.42578125" style="108" bestFit="1" customWidth="1"/>
    <col min="12044" max="12045" width="9.28515625" style="108" bestFit="1" customWidth="1"/>
    <col min="12046" max="12288" width="9.140625" style="108"/>
    <col min="12289" max="12289" width="14.85546875" style="108" customWidth="1"/>
    <col min="12290" max="12290" width="12.85546875" style="108" bestFit="1" customWidth="1"/>
    <col min="12291" max="12291" width="10.42578125" style="108" bestFit="1" customWidth="1"/>
    <col min="12292" max="12292" width="26.7109375" style="108" customWidth="1"/>
    <col min="12293" max="12294" width="9.140625" style="108"/>
    <col min="12295" max="12295" width="11.5703125" style="108" customWidth="1"/>
    <col min="12296" max="12298" width="9.140625" style="108"/>
    <col min="12299" max="12299" width="9.42578125" style="108" bestFit="1" customWidth="1"/>
    <col min="12300" max="12301" width="9.28515625" style="108" bestFit="1" customWidth="1"/>
    <col min="12302" max="12544" width="9.140625" style="108"/>
    <col min="12545" max="12545" width="14.85546875" style="108" customWidth="1"/>
    <col min="12546" max="12546" width="12.85546875" style="108" bestFit="1" customWidth="1"/>
    <col min="12547" max="12547" width="10.42578125" style="108" bestFit="1" customWidth="1"/>
    <col min="12548" max="12548" width="26.7109375" style="108" customWidth="1"/>
    <col min="12549" max="12550" width="9.140625" style="108"/>
    <col min="12551" max="12551" width="11.5703125" style="108" customWidth="1"/>
    <col min="12552" max="12554" width="9.140625" style="108"/>
    <col min="12555" max="12555" width="9.42578125" style="108" bestFit="1" customWidth="1"/>
    <col min="12556" max="12557" width="9.28515625" style="108" bestFit="1" customWidth="1"/>
    <col min="12558" max="12800" width="9.140625" style="108"/>
    <col min="12801" max="12801" width="14.85546875" style="108" customWidth="1"/>
    <col min="12802" max="12802" width="12.85546875" style="108" bestFit="1" customWidth="1"/>
    <col min="12803" max="12803" width="10.42578125" style="108" bestFit="1" customWidth="1"/>
    <col min="12804" max="12804" width="26.7109375" style="108" customWidth="1"/>
    <col min="12805" max="12806" width="9.140625" style="108"/>
    <col min="12807" max="12807" width="11.5703125" style="108" customWidth="1"/>
    <col min="12808" max="12810" width="9.140625" style="108"/>
    <col min="12811" max="12811" width="9.42578125" style="108" bestFit="1" customWidth="1"/>
    <col min="12812" max="12813" width="9.28515625" style="108" bestFit="1" customWidth="1"/>
    <col min="12814" max="13056" width="9.140625" style="108"/>
    <col min="13057" max="13057" width="14.85546875" style="108" customWidth="1"/>
    <col min="13058" max="13058" width="12.85546875" style="108" bestFit="1" customWidth="1"/>
    <col min="13059" max="13059" width="10.42578125" style="108" bestFit="1" customWidth="1"/>
    <col min="13060" max="13060" width="26.7109375" style="108" customWidth="1"/>
    <col min="13061" max="13062" width="9.140625" style="108"/>
    <col min="13063" max="13063" width="11.5703125" style="108" customWidth="1"/>
    <col min="13064" max="13066" width="9.140625" style="108"/>
    <col min="13067" max="13067" width="9.42578125" style="108" bestFit="1" customWidth="1"/>
    <col min="13068" max="13069" width="9.28515625" style="108" bestFit="1" customWidth="1"/>
    <col min="13070" max="13312" width="9.140625" style="108"/>
    <col min="13313" max="13313" width="14.85546875" style="108" customWidth="1"/>
    <col min="13314" max="13314" width="12.85546875" style="108" bestFit="1" customWidth="1"/>
    <col min="13315" max="13315" width="10.42578125" style="108" bestFit="1" customWidth="1"/>
    <col min="13316" max="13316" width="26.7109375" style="108" customWidth="1"/>
    <col min="13317" max="13318" width="9.140625" style="108"/>
    <col min="13319" max="13319" width="11.5703125" style="108" customWidth="1"/>
    <col min="13320" max="13322" width="9.140625" style="108"/>
    <col min="13323" max="13323" width="9.42578125" style="108" bestFit="1" customWidth="1"/>
    <col min="13324" max="13325" width="9.28515625" style="108" bestFit="1" customWidth="1"/>
    <col min="13326" max="13568" width="9.140625" style="108"/>
    <col min="13569" max="13569" width="14.85546875" style="108" customWidth="1"/>
    <col min="13570" max="13570" width="12.85546875" style="108" bestFit="1" customWidth="1"/>
    <col min="13571" max="13571" width="10.42578125" style="108" bestFit="1" customWidth="1"/>
    <col min="13572" max="13572" width="26.7109375" style="108" customWidth="1"/>
    <col min="13573" max="13574" width="9.140625" style="108"/>
    <col min="13575" max="13575" width="11.5703125" style="108" customWidth="1"/>
    <col min="13576" max="13578" width="9.140625" style="108"/>
    <col min="13579" max="13579" width="9.42578125" style="108" bestFit="1" customWidth="1"/>
    <col min="13580" max="13581" width="9.28515625" style="108" bestFit="1" customWidth="1"/>
    <col min="13582" max="13824" width="9.140625" style="108"/>
    <col min="13825" max="13825" width="14.85546875" style="108" customWidth="1"/>
    <col min="13826" max="13826" width="12.85546875" style="108" bestFit="1" customWidth="1"/>
    <col min="13827" max="13827" width="10.42578125" style="108" bestFit="1" customWidth="1"/>
    <col min="13828" max="13828" width="26.7109375" style="108" customWidth="1"/>
    <col min="13829" max="13830" width="9.140625" style="108"/>
    <col min="13831" max="13831" width="11.5703125" style="108" customWidth="1"/>
    <col min="13832" max="13834" width="9.140625" style="108"/>
    <col min="13835" max="13835" width="9.42578125" style="108" bestFit="1" customWidth="1"/>
    <col min="13836" max="13837" width="9.28515625" style="108" bestFit="1" customWidth="1"/>
    <col min="13838" max="14080" width="9.140625" style="108"/>
    <col min="14081" max="14081" width="14.85546875" style="108" customWidth="1"/>
    <col min="14082" max="14082" width="12.85546875" style="108" bestFit="1" customWidth="1"/>
    <col min="14083" max="14083" width="10.42578125" style="108" bestFit="1" customWidth="1"/>
    <col min="14084" max="14084" width="26.7109375" style="108" customWidth="1"/>
    <col min="14085" max="14086" width="9.140625" style="108"/>
    <col min="14087" max="14087" width="11.5703125" style="108" customWidth="1"/>
    <col min="14088" max="14090" width="9.140625" style="108"/>
    <col min="14091" max="14091" width="9.42578125" style="108" bestFit="1" customWidth="1"/>
    <col min="14092" max="14093" width="9.28515625" style="108" bestFit="1" customWidth="1"/>
    <col min="14094" max="14336" width="9.140625" style="108"/>
    <col min="14337" max="14337" width="14.85546875" style="108" customWidth="1"/>
    <col min="14338" max="14338" width="12.85546875" style="108" bestFit="1" customWidth="1"/>
    <col min="14339" max="14339" width="10.42578125" style="108" bestFit="1" customWidth="1"/>
    <col min="14340" max="14340" width="26.7109375" style="108" customWidth="1"/>
    <col min="14341" max="14342" width="9.140625" style="108"/>
    <col min="14343" max="14343" width="11.5703125" style="108" customWidth="1"/>
    <col min="14344" max="14346" width="9.140625" style="108"/>
    <col min="14347" max="14347" width="9.42578125" style="108" bestFit="1" customWidth="1"/>
    <col min="14348" max="14349" width="9.28515625" style="108" bestFit="1" customWidth="1"/>
    <col min="14350" max="14592" width="9.140625" style="108"/>
    <col min="14593" max="14593" width="14.85546875" style="108" customWidth="1"/>
    <col min="14594" max="14594" width="12.85546875" style="108" bestFit="1" customWidth="1"/>
    <col min="14595" max="14595" width="10.42578125" style="108" bestFit="1" customWidth="1"/>
    <col min="14596" max="14596" width="26.7109375" style="108" customWidth="1"/>
    <col min="14597" max="14598" width="9.140625" style="108"/>
    <col min="14599" max="14599" width="11.5703125" style="108" customWidth="1"/>
    <col min="14600" max="14602" width="9.140625" style="108"/>
    <col min="14603" max="14603" width="9.42578125" style="108" bestFit="1" customWidth="1"/>
    <col min="14604" max="14605" width="9.28515625" style="108" bestFit="1" customWidth="1"/>
    <col min="14606" max="14848" width="9.140625" style="108"/>
    <col min="14849" max="14849" width="14.85546875" style="108" customWidth="1"/>
    <col min="14850" max="14850" width="12.85546875" style="108" bestFit="1" customWidth="1"/>
    <col min="14851" max="14851" width="10.42578125" style="108" bestFit="1" customWidth="1"/>
    <col min="14852" max="14852" width="26.7109375" style="108" customWidth="1"/>
    <col min="14853" max="14854" width="9.140625" style="108"/>
    <col min="14855" max="14855" width="11.5703125" style="108" customWidth="1"/>
    <col min="14856" max="14858" width="9.140625" style="108"/>
    <col min="14859" max="14859" width="9.42578125" style="108" bestFit="1" customWidth="1"/>
    <col min="14860" max="14861" width="9.28515625" style="108" bestFit="1" customWidth="1"/>
    <col min="14862" max="15104" width="9.140625" style="108"/>
    <col min="15105" max="15105" width="14.85546875" style="108" customWidth="1"/>
    <col min="15106" max="15106" width="12.85546875" style="108" bestFit="1" customWidth="1"/>
    <col min="15107" max="15107" width="10.42578125" style="108" bestFit="1" customWidth="1"/>
    <col min="15108" max="15108" width="26.7109375" style="108" customWidth="1"/>
    <col min="15109" max="15110" width="9.140625" style="108"/>
    <col min="15111" max="15111" width="11.5703125" style="108" customWidth="1"/>
    <col min="15112" max="15114" width="9.140625" style="108"/>
    <col min="15115" max="15115" width="9.42578125" style="108" bestFit="1" customWidth="1"/>
    <col min="15116" max="15117" width="9.28515625" style="108" bestFit="1" customWidth="1"/>
    <col min="15118" max="15360" width="9.140625" style="108"/>
    <col min="15361" max="15361" width="14.85546875" style="108" customWidth="1"/>
    <col min="15362" max="15362" width="12.85546875" style="108" bestFit="1" customWidth="1"/>
    <col min="15363" max="15363" width="10.42578125" style="108" bestFit="1" customWidth="1"/>
    <col min="15364" max="15364" width="26.7109375" style="108" customWidth="1"/>
    <col min="15365" max="15366" width="9.140625" style="108"/>
    <col min="15367" max="15367" width="11.5703125" style="108" customWidth="1"/>
    <col min="15368" max="15370" width="9.140625" style="108"/>
    <col min="15371" max="15371" width="9.42578125" style="108" bestFit="1" customWidth="1"/>
    <col min="15372" max="15373" width="9.28515625" style="108" bestFit="1" customWidth="1"/>
    <col min="15374" max="15616" width="9.140625" style="108"/>
    <col min="15617" max="15617" width="14.85546875" style="108" customWidth="1"/>
    <col min="15618" max="15618" width="12.85546875" style="108" bestFit="1" customWidth="1"/>
    <col min="15619" max="15619" width="10.42578125" style="108" bestFit="1" customWidth="1"/>
    <col min="15620" max="15620" width="26.7109375" style="108" customWidth="1"/>
    <col min="15621" max="15622" width="9.140625" style="108"/>
    <col min="15623" max="15623" width="11.5703125" style="108" customWidth="1"/>
    <col min="15624" max="15626" width="9.140625" style="108"/>
    <col min="15627" max="15627" width="9.42578125" style="108" bestFit="1" customWidth="1"/>
    <col min="15628" max="15629" width="9.28515625" style="108" bestFit="1" customWidth="1"/>
    <col min="15630" max="15872" width="9.140625" style="108"/>
    <col min="15873" max="15873" width="14.85546875" style="108" customWidth="1"/>
    <col min="15874" max="15874" width="12.85546875" style="108" bestFit="1" customWidth="1"/>
    <col min="15875" max="15875" width="10.42578125" style="108" bestFit="1" customWidth="1"/>
    <col min="15876" max="15876" width="26.7109375" style="108" customWidth="1"/>
    <col min="15877" max="15878" width="9.140625" style="108"/>
    <col min="15879" max="15879" width="11.5703125" style="108" customWidth="1"/>
    <col min="15880" max="15882" width="9.140625" style="108"/>
    <col min="15883" max="15883" width="9.42578125" style="108" bestFit="1" customWidth="1"/>
    <col min="15884" max="15885" width="9.28515625" style="108" bestFit="1" customWidth="1"/>
    <col min="15886" max="16128" width="9.140625" style="108"/>
    <col min="16129" max="16129" width="14.85546875" style="108" customWidth="1"/>
    <col min="16130" max="16130" width="12.85546875" style="108" bestFit="1" customWidth="1"/>
    <col min="16131" max="16131" width="10.42578125" style="108" bestFit="1" customWidth="1"/>
    <col min="16132" max="16132" width="26.7109375" style="108" customWidth="1"/>
    <col min="16133" max="16134" width="9.140625" style="108"/>
    <col min="16135" max="16135" width="11.5703125" style="108" customWidth="1"/>
    <col min="16136" max="16138" width="9.140625" style="108"/>
    <col min="16139" max="16139" width="9.42578125" style="108" bestFit="1" customWidth="1"/>
    <col min="16140" max="16141" width="9.28515625" style="108" bestFit="1" customWidth="1"/>
    <col min="16142" max="16384" width="9.140625" style="108"/>
  </cols>
  <sheetData>
    <row r="1" spans="1:18" x14ac:dyDescent="0.25">
      <c r="A1" s="107" t="s">
        <v>108</v>
      </c>
    </row>
    <row r="2" spans="1:18" x14ac:dyDescent="0.25">
      <c r="A2" s="109" t="s">
        <v>211</v>
      </c>
      <c r="C2" s="110"/>
      <c r="D2" s="110"/>
      <c r="E2" s="110"/>
      <c r="K2" s="109" t="s">
        <v>110</v>
      </c>
      <c r="L2" s="169" t="s">
        <v>111</v>
      </c>
      <c r="M2" s="169" t="s">
        <v>212</v>
      </c>
      <c r="N2" s="166"/>
    </row>
    <row r="3" spans="1:18" ht="15.75" thickBot="1" x14ac:dyDescent="0.3">
      <c r="B3" s="112">
        <f>(((A14/B6+B10)*B8)+B12)/12</f>
        <v>1014.7580277567914</v>
      </c>
      <c r="C3" s="113" t="s">
        <v>113</v>
      </c>
      <c r="D3" s="114" t="s">
        <v>114</v>
      </c>
      <c r="E3" s="170"/>
      <c r="F3" s="170"/>
      <c r="G3" s="170"/>
      <c r="H3" s="193" t="s">
        <v>115</v>
      </c>
      <c r="K3" s="115" t="s">
        <v>116</v>
      </c>
      <c r="L3" s="116">
        <f>B3/B8</f>
        <v>4.9355935202178571</v>
      </c>
      <c r="M3" s="117">
        <f>L3*B8/20/6</f>
        <v>8.4563168979732612</v>
      </c>
      <c r="N3" s="172"/>
      <c r="O3" s="174" t="s">
        <v>213</v>
      </c>
      <c r="P3" s="174" t="s">
        <v>214</v>
      </c>
      <c r="Q3" s="174"/>
      <c r="R3" s="174"/>
    </row>
    <row r="4" spans="1:18" x14ac:dyDescent="0.25">
      <c r="B4" s="115" t="s">
        <v>118</v>
      </c>
      <c r="C4" s="113"/>
      <c r="D4" s="196">
        <v>12</v>
      </c>
      <c r="E4" s="196"/>
      <c r="F4" s="196"/>
      <c r="G4" s="196"/>
      <c r="H4" s="193"/>
      <c r="K4" s="115" t="s">
        <v>119</v>
      </c>
      <c r="L4" s="120">
        <f>L3*1.21</f>
        <v>5.9720681594636069</v>
      </c>
      <c r="M4" s="177">
        <f>M3*1.21</f>
        <v>10.232143446547646</v>
      </c>
      <c r="N4" s="172"/>
      <c r="O4" s="174">
        <f>2.5*2+3+5*3</f>
        <v>23</v>
      </c>
      <c r="P4" s="174">
        <f>O4/5</f>
        <v>4.5999999999999996</v>
      </c>
      <c r="Q4" s="174" t="s">
        <v>215</v>
      </c>
      <c r="R4" s="174"/>
    </row>
    <row r="5" spans="1:18" x14ac:dyDescent="0.25">
      <c r="C5" s="110"/>
      <c r="D5" s="110"/>
      <c r="E5" s="110"/>
      <c r="K5" s="121"/>
      <c r="N5" s="174">
        <f>12</f>
        <v>12</v>
      </c>
      <c r="O5" s="174">
        <f>N5/5</f>
        <v>2.4</v>
      </c>
      <c r="P5" s="174" t="s">
        <v>216</v>
      </c>
      <c r="Q5" s="174"/>
      <c r="R5" s="174"/>
    </row>
    <row r="6" spans="1:18" x14ac:dyDescent="0.25">
      <c r="B6" s="122">
        <v>3865</v>
      </c>
      <c r="C6" s="108" t="s">
        <v>120</v>
      </c>
      <c r="D6" s="123" t="s">
        <v>121</v>
      </c>
      <c r="N6" s="174">
        <v>8</v>
      </c>
      <c r="O6" s="174">
        <f>N6/5</f>
        <v>1.6</v>
      </c>
      <c r="P6" s="174" t="s">
        <v>217</v>
      </c>
      <c r="Q6" s="174"/>
      <c r="R6" s="174"/>
    </row>
    <row r="7" spans="1:18" ht="4.5" customHeight="1" x14ac:dyDescent="0.25">
      <c r="B7" s="124"/>
      <c r="D7" s="123"/>
      <c r="N7" s="174"/>
      <c r="O7" s="174"/>
      <c r="P7" s="174"/>
      <c r="Q7" s="174"/>
      <c r="R7" s="174"/>
    </row>
    <row r="8" spans="1:18" x14ac:dyDescent="0.25">
      <c r="A8" s="125">
        <f>B8/B6</f>
        <v>5.319534282018111E-2</v>
      </c>
      <c r="B8" s="126">
        <v>205.6</v>
      </c>
      <c r="C8" s="108" t="s">
        <v>122</v>
      </c>
      <c r="D8" s="127" t="s">
        <v>123</v>
      </c>
      <c r="E8" s="127"/>
      <c r="N8" s="174">
        <v>5</v>
      </c>
      <c r="O8" s="174">
        <f>N8/5</f>
        <v>1</v>
      </c>
      <c r="P8" s="174" t="s">
        <v>209</v>
      </c>
      <c r="Q8" s="174"/>
      <c r="R8" s="174"/>
    </row>
    <row r="9" spans="1:18" ht="5.25" customHeight="1" x14ac:dyDescent="0.25">
      <c r="B9" s="124"/>
      <c r="D9" s="123"/>
      <c r="N9" s="174"/>
      <c r="O9" s="174"/>
      <c r="P9" s="174"/>
      <c r="Q9" s="174"/>
      <c r="R9" s="174"/>
    </row>
    <row r="10" spans="1:18" x14ac:dyDescent="0.25">
      <c r="B10" s="126">
        <f>A47</f>
        <v>21.515880155239319</v>
      </c>
      <c r="C10" s="108" t="s">
        <v>124</v>
      </c>
      <c r="D10" s="127" t="s">
        <v>125</v>
      </c>
      <c r="N10" s="174"/>
      <c r="O10" s="174">
        <f>14-P4-O5-O8</f>
        <v>6</v>
      </c>
      <c r="P10" s="174"/>
      <c r="Q10" s="174"/>
      <c r="R10" s="174"/>
    </row>
    <row r="11" spans="1:18" ht="6.75" customHeight="1" x14ac:dyDescent="0.25">
      <c r="C11" s="127"/>
      <c r="N11" s="174"/>
      <c r="O11" s="174"/>
      <c r="P11" s="174"/>
      <c r="Q11" s="174"/>
      <c r="R11" s="174"/>
    </row>
    <row r="12" spans="1:18" ht="45" customHeight="1" x14ac:dyDescent="0.25">
      <c r="B12" s="128">
        <v>28</v>
      </c>
      <c r="C12" s="129" t="s">
        <v>126</v>
      </c>
      <c r="D12" s="130" t="s">
        <v>127</v>
      </c>
    </row>
    <row r="13" spans="1:18" ht="6.75" customHeight="1" x14ac:dyDescent="0.25">
      <c r="C13" s="127"/>
    </row>
    <row r="14" spans="1:18" x14ac:dyDescent="0.25">
      <c r="A14" s="126">
        <f>B23+B28+B30+B32+B34+B35+B36+B37/B43</f>
        <v>145227.58879999997</v>
      </c>
      <c r="B14" s="108" t="s">
        <v>128</v>
      </c>
      <c r="C14" s="108" t="s">
        <v>129</v>
      </c>
    </row>
    <row r="16" spans="1:18" x14ac:dyDescent="0.25">
      <c r="D16" s="123" t="s">
        <v>130</v>
      </c>
    </row>
    <row r="17" spans="1:18" x14ac:dyDescent="0.25">
      <c r="D17" s="131"/>
    </row>
    <row r="18" spans="1:18" x14ac:dyDescent="0.25">
      <c r="D18" s="132" t="s">
        <v>131</v>
      </c>
    </row>
    <row r="19" spans="1:18" x14ac:dyDescent="0.25">
      <c r="D19" s="133"/>
    </row>
    <row r="20" spans="1:18" x14ac:dyDescent="0.25">
      <c r="D20" s="134" t="s">
        <v>132</v>
      </c>
    </row>
    <row r="23" spans="1:18" ht="15" customHeight="1" x14ac:dyDescent="0.25">
      <c r="B23" s="126">
        <f>C73</f>
        <v>97273.829999999987</v>
      </c>
      <c r="C23" s="108" t="s">
        <v>133</v>
      </c>
      <c r="D23" s="192" t="s">
        <v>134</v>
      </c>
      <c r="E23" s="192"/>
      <c r="F23" s="192"/>
      <c r="G23" s="192"/>
      <c r="H23" s="192"/>
      <c r="I23" s="192"/>
      <c r="J23" s="192"/>
      <c r="K23" s="192"/>
      <c r="L23" s="192"/>
      <c r="M23" s="192"/>
      <c r="N23" s="192"/>
      <c r="O23" s="192"/>
      <c r="P23" s="192"/>
      <c r="Q23" s="192"/>
      <c r="R23" s="192"/>
    </row>
    <row r="24" spans="1:18" ht="15" customHeight="1" x14ac:dyDescent="0.25">
      <c r="B24" s="126"/>
      <c r="D24" s="192" t="s">
        <v>135</v>
      </c>
      <c r="E24" s="192"/>
      <c r="F24" s="192"/>
      <c r="G24" s="192"/>
      <c r="H24" s="192"/>
      <c r="I24" s="192"/>
      <c r="J24" s="192"/>
      <c r="K24" s="192"/>
      <c r="L24" s="192"/>
      <c r="M24" s="192"/>
      <c r="N24" s="192"/>
      <c r="O24" s="192"/>
      <c r="P24" s="192"/>
      <c r="Q24" s="192"/>
      <c r="R24" s="192"/>
    </row>
    <row r="25" spans="1:18" ht="15" customHeight="1" x14ac:dyDescent="0.25">
      <c r="B25" s="126"/>
      <c r="D25" s="192" t="s">
        <v>136</v>
      </c>
      <c r="E25" s="192"/>
      <c r="F25" s="192"/>
      <c r="G25" s="192"/>
      <c r="H25" s="192"/>
      <c r="I25" s="192"/>
      <c r="J25" s="192"/>
      <c r="K25" s="192"/>
      <c r="L25" s="192"/>
      <c r="M25" s="192"/>
      <c r="N25" s="192"/>
      <c r="O25" s="192"/>
      <c r="P25" s="192"/>
      <c r="Q25" s="192"/>
      <c r="R25" s="192"/>
    </row>
    <row r="26" spans="1:18" ht="15" customHeight="1" x14ac:dyDescent="0.25">
      <c r="A26" s="109" t="s">
        <v>133</v>
      </c>
      <c r="B26" s="126"/>
      <c r="D26" s="192" t="s">
        <v>137</v>
      </c>
      <c r="E26" s="192"/>
      <c r="F26" s="192"/>
      <c r="G26" s="192"/>
      <c r="H26" s="192"/>
      <c r="I26" s="192"/>
      <c r="J26" s="192"/>
      <c r="K26" s="192"/>
      <c r="L26" s="192"/>
      <c r="M26" s="192"/>
      <c r="N26" s="192"/>
      <c r="O26" s="192"/>
      <c r="P26" s="192"/>
      <c r="Q26" s="192"/>
      <c r="R26" s="192"/>
    </row>
    <row r="27" spans="1:18" ht="15" customHeight="1" x14ac:dyDescent="0.25">
      <c r="B27" s="126"/>
      <c r="D27" s="192" t="s">
        <v>138</v>
      </c>
      <c r="E27" s="192"/>
      <c r="F27" s="192"/>
      <c r="G27" s="192"/>
      <c r="H27" s="192"/>
      <c r="I27" s="192"/>
      <c r="J27" s="192"/>
      <c r="K27" s="192"/>
      <c r="L27" s="192"/>
      <c r="M27" s="192"/>
      <c r="N27" s="192"/>
      <c r="O27" s="192"/>
      <c r="P27" s="192"/>
      <c r="Q27" s="192"/>
      <c r="R27" s="192"/>
    </row>
    <row r="28" spans="1:18" x14ac:dyDescent="0.25">
      <c r="B28" s="126">
        <f>C76</f>
        <v>20638.648799999999</v>
      </c>
      <c r="C28" s="108" t="s">
        <v>139</v>
      </c>
      <c r="D28" s="192" t="s">
        <v>140</v>
      </c>
      <c r="E28" s="192"/>
      <c r="F28" s="192"/>
      <c r="G28" s="192"/>
      <c r="H28" s="192"/>
      <c r="I28" s="192"/>
      <c r="J28" s="192"/>
      <c r="K28" s="192"/>
      <c r="L28" s="192"/>
      <c r="M28" s="192"/>
      <c r="N28" s="192"/>
      <c r="O28" s="192"/>
      <c r="P28" s="192"/>
      <c r="Q28" s="192"/>
      <c r="R28" s="192"/>
    </row>
    <row r="29" spans="1:18" x14ac:dyDescent="0.25">
      <c r="B29" s="124"/>
      <c r="D29" s="108" t="s">
        <v>141</v>
      </c>
    </row>
    <row r="30" spans="1:18" x14ac:dyDescent="0.25">
      <c r="B30" s="126">
        <f>[3]Tame!B92+[3]Tame!B105</f>
        <v>633</v>
      </c>
      <c r="C30" s="108" t="s">
        <v>142</v>
      </c>
      <c r="D30" s="192" t="s">
        <v>143</v>
      </c>
      <c r="E30" s="192"/>
      <c r="F30" s="192"/>
      <c r="G30" s="192"/>
      <c r="H30" s="192"/>
      <c r="I30" s="192"/>
      <c r="J30" s="192"/>
      <c r="K30" s="192"/>
      <c r="L30" s="192"/>
      <c r="M30" s="192"/>
      <c r="N30" s="192"/>
      <c r="O30" s="192"/>
      <c r="P30" s="192"/>
      <c r="Q30" s="192"/>
      <c r="R30" s="192"/>
    </row>
    <row r="31" spans="1:18" x14ac:dyDescent="0.25">
      <c r="B31" s="124"/>
      <c r="D31" s="108" t="s">
        <v>144</v>
      </c>
    </row>
    <row r="32" spans="1:18" x14ac:dyDescent="0.25">
      <c r="B32" s="126">
        <f>[3]Tame!D87</f>
        <v>26333.61</v>
      </c>
      <c r="C32" s="108" t="s">
        <v>145</v>
      </c>
      <c r="D32" s="108" t="s">
        <v>146</v>
      </c>
    </row>
    <row r="33" spans="1:18" x14ac:dyDescent="0.25">
      <c r="B33" s="124"/>
      <c r="D33" s="108" t="s">
        <v>147</v>
      </c>
    </row>
    <row r="34" spans="1:18" x14ac:dyDescent="0.25">
      <c r="A34" s="109" t="s">
        <v>133</v>
      </c>
      <c r="B34" s="126">
        <f>[3]Tame!D60</f>
        <v>348.5</v>
      </c>
      <c r="C34" s="108" t="s">
        <v>148</v>
      </c>
      <c r="D34" s="108" t="s">
        <v>149</v>
      </c>
    </row>
    <row r="35" spans="1:18" ht="60" x14ac:dyDescent="0.25">
      <c r="B35" s="126">
        <v>0</v>
      </c>
      <c r="C35" s="129" t="s">
        <v>150</v>
      </c>
      <c r="D35" s="108" t="s">
        <v>151</v>
      </c>
    </row>
    <row r="36" spans="1:18" x14ac:dyDescent="0.25">
      <c r="B36" s="126"/>
      <c r="C36" s="108" t="s">
        <v>152</v>
      </c>
      <c r="D36" s="108" t="s">
        <v>153</v>
      </c>
    </row>
    <row r="37" spans="1:18" x14ac:dyDescent="0.25">
      <c r="B37" s="126">
        <v>0</v>
      </c>
      <c r="C37" s="108" t="s">
        <v>154</v>
      </c>
      <c r="D37" s="192" t="s">
        <v>155</v>
      </c>
      <c r="E37" s="192"/>
      <c r="F37" s="192"/>
      <c r="G37" s="192"/>
      <c r="H37" s="192"/>
      <c r="I37" s="192"/>
      <c r="J37" s="192"/>
      <c r="K37" s="192"/>
      <c r="L37" s="192"/>
      <c r="M37" s="192"/>
      <c r="N37" s="192"/>
      <c r="O37" s="192"/>
      <c r="P37" s="192"/>
      <c r="Q37" s="192"/>
      <c r="R37" s="192"/>
    </row>
    <row r="38" spans="1:18" x14ac:dyDescent="0.25">
      <c r="B38" s="126"/>
      <c r="D38" s="192" t="s">
        <v>156</v>
      </c>
      <c r="E38" s="192"/>
      <c r="F38" s="192"/>
      <c r="G38" s="192"/>
      <c r="H38" s="192"/>
      <c r="I38" s="192"/>
      <c r="J38" s="192"/>
      <c r="K38" s="192"/>
      <c r="L38" s="192"/>
      <c r="M38" s="192"/>
      <c r="N38" s="192"/>
      <c r="O38" s="192"/>
      <c r="P38" s="192"/>
      <c r="Q38" s="192"/>
      <c r="R38" s="192"/>
    </row>
    <row r="39" spans="1:18" x14ac:dyDescent="0.25">
      <c r="B39" s="126"/>
      <c r="D39" s="192" t="s">
        <v>157</v>
      </c>
      <c r="E39" s="192"/>
      <c r="F39" s="192"/>
      <c r="G39" s="192"/>
      <c r="H39" s="192"/>
      <c r="I39" s="192"/>
      <c r="J39" s="192"/>
      <c r="K39" s="192"/>
      <c r="L39" s="192"/>
      <c r="M39" s="192"/>
      <c r="N39" s="192"/>
      <c r="O39" s="192"/>
      <c r="P39" s="192"/>
      <c r="Q39" s="192"/>
      <c r="R39" s="192"/>
    </row>
    <row r="40" spans="1:18" x14ac:dyDescent="0.25">
      <c r="B40" s="126"/>
      <c r="D40" s="192" t="s">
        <v>201</v>
      </c>
      <c r="E40" s="192"/>
      <c r="F40" s="192"/>
      <c r="G40" s="192"/>
      <c r="H40" s="192"/>
      <c r="I40" s="192"/>
      <c r="J40" s="192"/>
      <c r="K40" s="192"/>
      <c r="L40" s="192"/>
      <c r="M40" s="192"/>
      <c r="N40" s="192"/>
      <c r="O40" s="192"/>
      <c r="P40" s="192"/>
      <c r="Q40" s="192"/>
      <c r="R40" s="192"/>
    </row>
    <row r="41" spans="1:18" x14ac:dyDescent="0.25">
      <c r="B41" s="126"/>
      <c r="D41" s="192" t="s">
        <v>202</v>
      </c>
      <c r="E41" s="192"/>
      <c r="F41" s="192"/>
      <c r="G41" s="192"/>
      <c r="H41" s="192"/>
      <c r="I41" s="192"/>
      <c r="J41" s="192"/>
      <c r="K41" s="192"/>
      <c r="L41" s="192"/>
      <c r="M41" s="192"/>
      <c r="N41" s="192"/>
      <c r="O41" s="192"/>
      <c r="P41" s="192"/>
      <c r="Q41" s="192"/>
      <c r="R41" s="192"/>
    </row>
    <row r="42" spans="1:18" x14ac:dyDescent="0.25">
      <c r="B42" s="126"/>
      <c r="D42" s="192" t="s">
        <v>203</v>
      </c>
      <c r="E42" s="192"/>
      <c r="F42" s="192"/>
      <c r="G42" s="192"/>
      <c r="H42" s="192"/>
      <c r="I42" s="192"/>
      <c r="J42" s="192"/>
      <c r="K42" s="192"/>
      <c r="L42" s="192"/>
      <c r="M42" s="192"/>
      <c r="N42" s="192"/>
      <c r="O42" s="192"/>
      <c r="P42" s="192"/>
      <c r="Q42" s="192"/>
      <c r="R42" s="192"/>
    </row>
    <row r="43" spans="1:18" x14ac:dyDescent="0.25">
      <c r="B43" s="126">
        <v>1</v>
      </c>
      <c r="C43" s="108" t="s">
        <v>161</v>
      </c>
      <c r="D43" s="192" t="s">
        <v>162</v>
      </c>
      <c r="E43" s="192"/>
      <c r="F43" s="192"/>
      <c r="G43" s="192"/>
      <c r="H43" s="192"/>
      <c r="I43" s="192"/>
      <c r="J43" s="192"/>
      <c r="K43" s="192"/>
      <c r="L43" s="192"/>
      <c r="M43" s="192"/>
      <c r="N43" s="192"/>
      <c r="O43" s="192"/>
      <c r="P43" s="192"/>
      <c r="Q43" s="192"/>
      <c r="R43" s="192"/>
    </row>
    <row r="44" spans="1:18" x14ac:dyDescent="0.25">
      <c r="B44" s="126"/>
      <c r="D44" s="135" t="s">
        <v>163</v>
      </c>
      <c r="E44" s="135"/>
      <c r="F44" s="135"/>
      <c r="G44" s="135"/>
      <c r="H44" s="135"/>
      <c r="I44" s="135"/>
      <c r="J44" s="135"/>
      <c r="K44" s="135"/>
      <c r="L44" s="135"/>
      <c r="M44" s="135"/>
      <c r="N44" s="135"/>
      <c r="O44" s="135"/>
      <c r="P44" s="135"/>
      <c r="Q44" s="135"/>
      <c r="R44" s="135"/>
    </row>
    <row r="47" spans="1:18" ht="30" customHeight="1" x14ac:dyDescent="0.25">
      <c r="A47" s="137">
        <f>B53*B55/B57</f>
        <v>21.515880155239319</v>
      </c>
      <c r="B47" s="108" t="s">
        <v>124</v>
      </c>
      <c r="C47" s="190" t="s">
        <v>164</v>
      </c>
      <c r="D47" s="190"/>
      <c r="E47" s="190"/>
      <c r="F47" s="190"/>
      <c r="G47" s="190"/>
      <c r="H47" s="190"/>
      <c r="I47" s="190"/>
      <c r="J47" s="190"/>
      <c r="K47" s="190"/>
      <c r="L47" s="190"/>
      <c r="M47" s="190"/>
      <c r="N47" s="190"/>
      <c r="O47" s="190"/>
      <c r="P47" s="190"/>
      <c r="Q47" s="190"/>
    </row>
    <row r="49" spans="2:17" x14ac:dyDescent="0.25">
      <c r="E49" s="138" t="s">
        <v>165</v>
      </c>
    </row>
    <row r="51" spans="2:17" x14ac:dyDescent="0.25">
      <c r="E51" s="138" t="s">
        <v>166</v>
      </c>
    </row>
    <row r="53" spans="2:17" ht="46.5" customHeight="1" x14ac:dyDescent="0.25">
      <c r="B53" s="139">
        <f>C89</f>
        <v>83158.876799999969</v>
      </c>
      <c r="C53" s="108" t="s">
        <v>167</v>
      </c>
      <c r="D53" s="190" t="s">
        <v>168</v>
      </c>
      <c r="E53" s="190"/>
      <c r="F53" s="190"/>
      <c r="G53" s="190"/>
      <c r="H53" s="190"/>
      <c r="I53" s="190"/>
      <c r="J53" s="190"/>
      <c r="K53" s="190"/>
      <c r="L53" s="190"/>
      <c r="M53" s="190"/>
      <c r="N53" s="190"/>
      <c r="O53" s="190"/>
      <c r="P53" s="190"/>
      <c r="Q53" s="190"/>
    </row>
    <row r="54" spans="2:17" s="110" customFormat="1" ht="7.5" customHeight="1" x14ac:dyDescent="0.25">
      <c r="D54" s="140"/>
      <c r="E54" s="140"/>
      <c r="F54" s="140"/>
      <c r="G54" s="140"/>
      <c r="H54" s="140"/>
      <c r="I54" s="140"/>
      <c r="J54" s="140"/>
      <c r="K54" s="140"/>
      <c r="L54" s="140"/>
      <c r="M54" s="140"/>
      <c r="N54" s="140"/>
      <c r="O54" s="140"/>
      <c r="P54" s="140"/>
      <c r="Q54" s="140"/>
    </row>
    <row r="55" spans="2:17" ht="32.25" customHeight="1" x14ac:dyDescent="0.25">
      <c r="B55" s="141">
        <v>1</v>
      </c>
      <c r="C55" s="108" t="s">
        <v>169</v>
      </c>
      <c r="D55" s="190" t="s">
        <v>170</v>
      </c>
      <c r="E55" s="190"/>
      <c r="F55" s="190"/>
      <c r="G55" s="190"/>
      <c r="H55" s="190"/>
      <c r="I55" s="190"/>
      <c r="J55" s="190"/>
      <c r="K55" s="190"/>
      <c r="L55" s="190"/>
      <c r="M55" s="190"/>
      <c r="N55" s="190"/>
      <c r="O55" s="190"/>
      <c r="P55" s="190"/>
      <c r="Q55" s="190"/>
    </row>
    <row r="56" spans="2:17" ht="6" customHeight="1" x14ac:dyDescent="0.25"/>
    <row r="57" spans="2:17" x14ac:dyDescent="0.25">
      <c r="B57" s="126">
        <v>3865</v>
      </c>
      <c r="C57" s="108" t="s">
        <v>171</v>
      </c>
      <c r="D57" s="138" t="s">
        <v>204</v>
      </c>
    </row>
    <row r="60" spans="2:17" x14ac:dyDescent="0.25">
      <c r="C60" s="142"/>
      <c r="D60" s="142"/>
      <c r="E60" s="142"/>
      <c r="F60" s="142"/>
    </row>
    <row r="61" spans="2:17" x14ac:dyDescent="0.25">
      <c r="B61" s="143" t="s">
        <v>173</v>
      </c>
      <c r="C61" s="142"/>
      <c r="D61" s="142"/>
      <c r="E61" s="142"/>
      <c r="F61" s="142"/>
    </row>
    <row r="62" spans="2:17" x14ac:dyDescent="0.25">
      <c r="B62" s="108">
        <v>2222</v>
      </c>
      <c r="C62" s="124">
        <f>[3]Tame!D48</f>
        <v>4994.1900000000005</v>
      </c>
      <c r="D62" s="158" t="s">
        <v>174</v>
      </c>
    </row>
    <row r="63" spans="2:17" x14ac:dyDescent="0.25">
      <c r="B63" s="108">
        <v>2223</v>
      </c>
      <c r="C63" s="124">
        <f>[3]Tame!D49</f>
        <v>13341.41</v>
      </c>
      <c r="D63" s="159" t="s">
        <v>175</v>
      </c>
    </row>
    <row r="64" spans="2:17" x14ac:dyDescent="0.25">
      <c r="B64" s="108">
        <v>2229</v>
      </c>
      <c r="C64" s="145">
        <f>[3]Tame!D50</f>
        <v>0</v>
      </c>
      <c r="D64" s="146" t="s">
        <v>176</v>
      </c>
    </row>
    <row r="65" spans="1:7" x14ac:dyDescent="0.25">
      <c r="B65" s="108">
        <v>2239</v>
      </c>
      <c r="C65" s="145">
        <f>[3]Tame!D55</f>
        <v>1140.25</v>
      </c>
      <c r="D65" s="146" t="s">
        <v>177</v>
      </c>
    </row>
    <row r="66" spans="1:7" x14ac:dyDescent="0.25">
      <c r="B66" s="108">
        <v>2241</v>
      </c>
      <c r="C66" s="145">
        <f>[3]Tame!D57</f>
        <v>35694.43</v>
      </c>
      <c r="D66" s="142" t="s">
        <v>178</v>
      </c>
    </row>
    <row r="67" spans="1:7" x14ac:dyDescent="0.25">
      <c r="B67" s="108">
        <v>2243</v>
      </c>
      <c r="C67" s="145">
        <v>1300</v>
      </c>
      <c r="D67" s="146" t="s">
        <v>179</v>
      </c>
      <c r="E67" s="146"/>
    </row>
    <row r="68" spans="1:7" x14ac:dyDescent="0.25">
      <c r="B68" s="108">
        <v>2244</v>
      </c>
      <c r="C68" s="145">
        <f>[3]Tame!D59</f>
        <v>2513</v>
      </c>
      <c r="D68" s="146" t="s">
        <v>180</v>
      </c>
    </row>
    <row r="69" spans="1:7" x14ac:dyDescent="0.25">
      <c r="B69" s="108">
        <v>2249</v>
      </c>
      <c r="C69" s="145">
        <f>[3]Tame!D61</f>
        <v>4998.63</v>
      </c>
      <c r="D69" s="146" t="s">
        <v>181</v>
      </c>
    </row>
    <row r="70" spans="1:7" x14ac:dyDescent="0.25">
      <c r="B70" s="108">
        <v>2321</v>
      </c>
      <c r="C70" s="145">
        <f>[3]Tame!D71</f>
        <v>27947.64</v>
      </c>
      <c r="D70" s="146" t="s">
        <v>182</v>
      </c>
    </row>
    <row r="71" spans="1:7" x14ac:dyDescent="0.25">
      <c r="B71" s="108">
        <v>2341</v>
      </c>
      <c r="C71" s="145">
        <f>[3]Tame!D74</f>
        <v>49.26</v>
      </c>
      <c r="D71" s="146" t="s">
        <v>183</v>
      </c>
    </row>
    <row r="72" spans="1:7" x14ac:dyDescent="0.25">
      <c r="B72" s="108">
        <v>2350</v>
      </c>
      <c r="C72" s="145">
        <f>[3]Tame!D75</f>
        <v>5295.02</v>
      </c>
      <c r="D72" s="146" t="s">
        <v>184</v>
      </c>
    </row>
    <row r="73" spans="1:7" x14ac:dyDescent="0.25">
      <c r="A73" s="147" t="s">
        <v>185</v>
      </c>
      <c r="B73" s="147"/>
      <c r="C73" s="148">
        <f>SUM(C62:C72)</f>
        <v>97273.829999999987</v>
      </c>
      <c r="D73" s="195"/>
      <c r="E73" s="195"/>
      <c r="F73" s="195"/>
      <c r="G73" s="195"/>
    </row>
    <row r="74" spans="1:7" x14ac:dyDescent="0.25">
      <c r="C74" s="149"/>
      <c r="D74" s="195"/>
      <c r="E74" s="195"/>
      <c r="F74" s="195"/>
      <c r="G74" s="195"/>
    </row>
    <row r="75" spans="1:7" x14ac:dyDescent="0.25">
      <c r="C75" s="150">
        <f>(462*3)*1.2409*12</f>
        <v>20638.648799999999</v>
      </c>
      <c r="D75" s="151" t="s">
        <v>206</v>
      </c>
      <c r="E75" s="146"/>
      <c r="F75" s="146"/>
      <c r="G75" s="146"/>
    </row>
    <row r="76" spans="1:7" x14ac:dyDescent="0.25">
      <c r="A76" s="147" t="s">
        <v>187</v>
      </c>
      <c r="B76" s="147"/>
      <c r="C76" s="148">
        <f>SUM(C75:C75)</f>
        <v>20638.648799999999</v>
      </c>
      <c r="D76" s="146"/>
      <c r="E76" s="146"/>
      <c r="F76" s="146"/>
      <c r="G76" s="146"/>
    </row>
    <row r="77" spans="1:7" x14ac:dyDescent="0.25">
      <c r="C77" s="149"/>
      <c r="D77" s="146"/>
      <c r="E77" s="146"/>
      <c r="F77" s="146"/>
      <c r="G77" s="146"/>
    </row>
    <row r="78" spans="1:7" x14ac:dyDescent="0.25">
      <c r="C78" s="152">
        <f>(1725+1244)*1.2409*12</f>
        <v>44210.785199999998</v>
      </c>
      <c r="D78" s="151" t="s">
        <v>188</v>
      </c>
    </row>
    <row r="79" spans="1:7" x14ac:dyDescent="0.25">
      <c r="C79" s="153">
        <f>709*3*1.2409*12</f>
        <v>31672.731599999999</v>
      </c>
      <c r="D79" s="151" t="s">
        <v>189</v>
      </c>
      <c r="E79" s="146"/>
      <c r="F79" s="146"/>
      <c r="G79" s="146"/>
    </row>
    <row r="80" spans="1:7" x14ac:dyDescent="0.25">
      <c r="B80" s="108">
        <v>2211</v>
      </c>
      <c r="C80" s="108">
        <f>[3]Tame!D45</f>
        <v>478.4</v>
      </c>
      <c r="D80" s="108" t="s">
        <v>190</v>
      </c>
    </row>
    <row r="81" spans="1:4" x14ac:dyDescent="0.25">
      <c r="B81" s="108">
        <v>2219</v>
      </c>
      <c r="C81" s="108">
        <f>[3]Tame!D46</f>
        <v>1353.5900000000001</v>
      </c>
      <c r="D81" s="146" t="s">
        <v>191</v>
      </c>
    </row>
    <row r="82" spans="1:4" x14ac:dyDescent="0.25">
      <c r="B82" s="108">
        <v>2234</v>
      </c>
      <c r="C82" s="108">
        <f>[3]Tame!D53</f>
        <v>143.47999999999999</v>
      </c>
      <c r="D82" s="146" t="s">
        <v>192</v>
      </c>
    </row>
    <row r="83" spans="1:4" x14ac:dyDescent="0.25">
      <c r="B83" s="108">
        <v>2236</v>
      </c>
      <c r="C83" s="108">
        <f>[3]Tame!D54</f>
        <v>0</v>
      </c>
      <c r="D83" s="146" t="s">
        <v>193</v>
      </c>
    </row>
    <row r="84" spans="1:4" x14ac:dyDescent="0.25">
      <c r="B84" s="108">
        <v>2264</v>
      </c>
      <c r="C84" s="108">
        <f>[3]Tame!D63</f>
        <v>80.400000000000006</v>
      </c>
      <c r="D84" s="146" t="s">
        <v>194</v>
      </c>
    </row>
    <row r="85" spans="1:4" x14ac:dyDescent="0.25">
      <c r="B85" s="108">
        <v>2311</v>
      </c>
      <c r="C85" s="108">
        <f>[3]Tame!D68</f>
        <v>1016.0799999999999</v>
      </c>
      <c r="D85" s="146" t="s">
        <v>195</v>
      </c>
    </row>
    <row r="86" spans="1:4" x14ac:dyDescent="0.25">
      <c r="B86" s="108">
        <v>2312</v>
      </c>
      <c r="C86" s="108">
        <f>[3]Tame!D69</f>
        <v>1608.7800000000002</v>
      </c>
      <c r="D86" s="146" t="s">
        <v>66</v>
      </c>
    </row>
    <row r="87" spans="1:4" x14ac:dyDescent="0.25">
      <c r="B87" s="108">
        <v>2322</v>
      </c>
      <c r="C87" s="108">
        <f>[3]Tame!D72</f>
        <v>716.98</v>
      </c>
      <c r="D87" s="146" t="s">
        <v>196</v>
      </c>
    </row>
    <row r="88" spans="1:4" x14ac:dyDescent="0.25">
      <c r="B88" s="108">
        <v>2390</v>
      </c>
      <c r="C88" s="108">
        <f>[3]Tame!D76</f>
        <v>1877.65</v>
      </c>
    </row>
    <row r="89" spans="1:4" x14ac:dyDescent="0.25">
      <c r="A89" s="147" t="s">
        <v>197</v>
      </c>
      <c r="B89" s="147"/>
      <c r="C89" s="148">
        <f>SUM(C78:C88)</f>
        <v>83158.876799999969</v>
      </c>
    </row>
  </sheetData>
  <mergeCells count="21">
    <mergeCell ref="D39:R39"/>
    <mergeCell ref="H3:H4"/>
    <mergeCell ref="D4:G4"/>
    <mergeCell ref="D23:R23"/>
    <mergeCell ref="D24:R24"/>
    <mergeCell ref="D25:R25"/>
    <mergeCell ref="D26:R26"/>
    <mergeCell ref="D27:R27"/>
    <mergeCell ref="D28:R28"/>
    <mergeCell ref="D30:R30"/>
    <mergeCell ref="D37:R37"/>
    <mergeCell ref="D38:R38"/>
    <mergeCell ref="D55:Q55"/>
    <mergeCell ref="D73:G73"/>
    <mergeCell ref="D74:G74"/>
    <mergeCell ref="D40:R40"/>
    <mergeCell ref="D41:R41"/>
    <mergeCell ref="D42:R42"/>
    <mergeCell ref="D43:R43"/>
    <mergeCell ref="C47:Q47"/>
    <mergeCell ref="D53:Q53"/>
  </mergeCells>
  <pageMargins left="0.70866141732283472" right="0.70866141732283472" top="0.74803149606299213" bottom="0.74803149606299213" header="0.31496062992125984" footer="0.31496062992125984"/>
  <pageSetup paperSize="9" scale="69" orientation="landscape" r:id="rId1"/>
  <rowBreaks count="1" manualBreakCount="1">
    <brk id="46"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1_Baseins</vt:lpstr>
      <vt:lpstr>2_Tame_galda_teniss</vt:lpstr>
      <vt:lpstr>3_Tame_sauna</vt:lpstr>
      <vt:lpstr>4_LZ</vt:lpstr>
      <vt:lpstr>5_Gerbtuve</vt:lpstr>
      <vt:lpstr>6_AerobZ</vt:lpstr>
      <vt:lpstr>7_Cinas_zale</vt:lpstr>
      <vt:lpstr>'1_Baseins'!Print_Area</vt:lpstr>
      <vt:lpstr>'2_Tame_galda_teniss'!Print_Area</vt:lpstr>
      <vt:lpstr>'3_Tame_sauna'!Print_Area</vt:lpstr>
      <vt:lpstr>'4_LZ'!Print_Area</vt:lpstr>
      <vt:lpstr>'5_Gerbtuve'!Print_Area</vt:lpstr>
      <vt:lpstr>'6_AerobZ'!Print_Area</vt:lpstr>
      <vt:lpstr>'7_Cinas_zale'!Print_Area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Jevgēnija Sviridenkova</cp:lastModifiedBy>
  <dcterms:created xsi:type="dcterms:W3CDTF">2018-08-31T07:59:43Z</dcterms:created>
  <dcterms:modified xsi:type="dcterms:W3CDTF">2018-09-04T15:03:23Z</dcterms:modified>
</cp:coreProperties>
</file>